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Berekening tarieven 2013 AD" sheetId="1" r:id="rId1"/>
    <sheet name="Verschuiving" sheetId="2" r:id="rId2"/>
    <sheet name="CAPEX2009" sheetId="3" r:id="rId3"/>
    <sheet name="GAW2008" sheetId="4" r:id="rId4"/>
    <sheet name="2009" sheetId="5" r:id="rId5"/>
    <sheet name="PAV 2011" sheetId="6" r:id="rId6"/>
    <sheet name="EAV 2011" sheetId="7" r:id="rId7"/>
    <sheet name="2a Tarievenblad" sheetId="8" r:id="rId8"/>
    <sheet name="TI-berekening 201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CPI2001">#REF!</definedName>
    <definedName name="__CPI2002">#REF!</definedName>
    <definedName name="__CPI2003">#REF!</definedName>
    <definedName name="__CPI2004">#REF!</definedName>
    <definedName name="__CPI2005">#REF!</definedName>
    <definedName name="__CPI2006">#REF!</definedName>
    <definedName name="__CPI2007">#REF!</definedName>
    <definedName name="__CPI2008">#REF!</definedName>
    <definedName name="__CPI2009">#REF!</definedName>
    <definedName name="__CPI2010">#REF!</definedName>
    <definedName name="__CPI2011">#REF!</definedName>
    <definedName name="__CPI2012">#REF!</definedName>
    <definedName name="__CPI2013">#REF!</definedName>
    <definedName name="__CPI2014">#REF!</definedName>
    <definedName name="_CPI2001">'[1]CPI en WACC'!$C$7</definedName>
    <definedName name="_CPI2002">'[1]CPI en WACC'!$C$8</definedName>
    <definedName name="_CPI2003">'[1]CPI en WACC'!$C$9</definedName>
    <definedName name="_CPI2004">'[1]CPI en WACC'!$C$10</definedName>
    <definedName name="_CPI2005">'[1]CPI en WACC'!$C$11</definedName>
    <definedName name="_CPI2006">'[1]CPI en WACC'!$C$12</definedName>
    <definedName name="_CPI2007">'[1]CPI en WACC'!$C$13</definedName>
    <definedName name="_CPI2008">'[1]CPI en WACC'!$C$14</definedName>
    <definedName name="_CPI2009">'[1]CPI en WACC'!$C$15</definedName>
    <definedName name="_CPI2010">'[1]CPI en WACC'!$C$16</definedName>
    <definedName name="_CPI2011">'[1]CPI en WACC'!$C$17</definedName>
    <definedName name="_CPI2012">'[1]CPI en WACC'!$C$18</definedName>
    <definedName name="_CPI2013">'[1]CPI en WACC'!$C$19</definedName>
    <definedName name="_CPI2014">'[1]CPI en WACC'!$C$20</definedName>
    <definedName name="ab" localSheetId="2">'CAPEX2009'!#REF!</definedName>
    <definedName name="ab" localSheetId="6">'EAV 2011'!#REF!</definedName>
    <definedName name="ab" localSheetId="5">'PAV 2011'!#REF!</definedName>
    <definedName name="ab" localSheetId="1">'Verschuiving'!#REF!</definedName>
    <definedName name="ab">'GAW2008'!#REF!</definedName>
    <definedName name="_xlnm.Print_Area" localSheetId="7">'2a Tarievenblad'!$A$1:$O$78</definedName>
    <definedName name="_xlnm.Print_Area" localSheetId="2">'CAPEX2009'!$A$1:$B$32</definedName>
    <definedName name="_xlnm.Print_Area" localSheetId="6">'EAV 2011'!$A$1:$K$158</definedName>
    <definedName name="_xlnm.Print_Area" localSheetId="3">'GAW2008'!$A$1:$N$35</definedName>
    <definedName name="_xlnm.Print_Area" localSheetId="5">'PAV 2011'!$A$1:$K$122</definedName>
    <definedName name="_xlnm.Print_Area" localSheetId="1">'Verschuiving'!$A$1:$B$60</definedName>
    <definedName name="_xlnm.Print_Titles" localSheetId="6">'EAV 2011'!$1:$3</definedName>
    <definedName name="_xlnm.Print_Titles" localSheetId="5">'PAV 2011'!$1:$3</definedName>
    <definedName name="AFS_NA" localSheetId="2">'[2]Cogas'!#REF!</definedName>
    <definedName name="AFS_NA" localSheetId="6">'[2]Cogas'!#REF!</definedName>
    <definedName name="AFS_NA" localSheetId="5">'[2]Cogas'!#REF!</definedName>
    <definedName name="AFS_NA" localSheetId="1">'[2]Cogas'!#REF!</definedName>
    <definedName name="AFS_NA">'[2]Cogas'!#REF!</definedName>
    <definedName name="AFS_NA_COGAS" localSheetId="2">'[2]Cogas'!#REF!</definedName>
    <definedName name="AFS_NA_COGAS" localSheetId="6">'[2]Cogas'!#REF!</definedName>
    <definedName name="AFS_NA_COGAS" localSheetId="5">'[2]Cogas'!#REF!</definedName>
    <definedName name="AFS_NA_COGAS" localSheetId="1">'[2]Cogas'!#REF!</definedName>
    <definedName name="AFS_NA_COGAS">'[2]Cogas'!#REF!</definedName>
    <definedName name="AFS_NA_D" localSheetId="2">'[2]DNWB'!#REF!</definedName>
    <definedName name="AFS_NA_D" localSheetId="6">'[2]DNWB'!#REF!</definedName>
    <definedName name="AFS_NA_D" localSheetId="5">'[2]DNWB'!#REF!</definedName>
    <definedName name="AFS_NA_D" localSheetId="1">'[2]DNWB'!#REF!</definedName>
    <definedName name="AFS_NA_D">'[2]DNWB'!#REF!</definedName>
    <definedName name="AFS_NA_E" localSheetId="2">'[2]Enexis'!#REF!</definedName>
    <definedName name="AFS_NA_E" localSheetId="6">'[2]Enexis'!#REF!</definedName>
    <definedName name="AFS_NA_E" localSheetId="5">'[2]Enexis'!#REF!</definedName>
    <definedName name="AFS_NA_E" localSheetId="1">'[2]Enexis'!#REF!</definedName>
    <definedName name="AFS_NA_E">'[2]Enexis'!#REF!</definedName>
    <definedName name="AFS_NA_ehd_COGAS" localSheetId="2">'[2]Cogas'!#REF!</definedName>
    <definedName name="AFS_NA_ehd_COGAS" localSheetId="6">'[2]Cogas'!#REF!</definedName>
    <definedName name="AFS_NA_ehd_COGAS" localSheetId="5">'[2]Cogas'!#REF!</definedName>
    <definedName name="AFS_NA_ehd_COGAS" localSheetId="1">'[2]Cogas'!#REF!</definedName>
    <definedName name="AFS_NA_ehd_COGAS">'[2]Cogas'!#REF!</definedName>
    <definedName name="AFS_NA_ehd_D" localSheetId="2">'[2]DNWB'!#REF!</definedName>
    <definedName name="AFS_NA_ehd_D" localSheetId="6">'[2]DNWB'!#REF!</definedName>
    <definedName name="AFS_NA_ehd_D" localSheetId="5">'[2]DNWB'!#REF!</definedName>
    <definedName name="AFS_NA_ehd_D" localSheetId="1">'[2]DNWB'!#REF!</definedName>
    <definedName name="AFS_NA_ehd_D">'[2]DNWB'!#REF!</definedName>
    <definedName name="AFS_NA_ehd_E" localSheetId="2">'[2]Enexis'!#REF!</definedName>
    <definedName name="AFS_NA_ehd_E" localSheetId="6">'[2]Enexis'!#REF!</definedName>
    <definedName name="AFS_NA_ehd_E" localSheetId="5">'[2]Enexis'!#REF!</definedName>
    <definedName name="AFS_NA_ehd_E" localSheetId="1">'[2]Enexis'!#REF!</definedName>
    <definedName name="AFS_NA_ehd_E">'[2]Enexis'!#REF!</definedName>
    <definedName name="AFS_NA_ehd_H" localSheetId="2">'[2]Haarlemmermeer'!#REF!</definedName>
    <definedName name="AFS_NA_ehd_H" localSheetId="6">'[2]Haarlemmermeer'!#REF!</definedName>
    <definedName name="AFS_NA_ehd_H" localSheetId="5">'[2]Haarlemmermeer'!#REF!</definedName>
    <definedName name="AFS_NA_ehd_H" localSheetId="1">'[2]Haarlemmermeer'!#REF!</definedName>
    <definedName name="AFS_NA_ehd_H">'[2]Haarlemmermeer'!#REF!</definedName>
    <definedName name="AFS_NA_ehd_I" localSheetId="2">'[2]Intergas'!#REF!</definedName>
    <definedName name="AFS_NA_ehd_I" localSheetId="6">'[2]Intergas'!#REF!</definedName>
    <definedName name="AFS_NA_ehd_I" localSheetId="5">'[2]Intergas'!#REF!</definedName>
    <definedName name="AFS_NA_ehd_I" localSheetId="1">'[2]Intergas'!#REF!</definedName>
    <definedName name="AFS_NA_ehd_I">'[2]Intergas'!#REF!</definedName>
    <definedName name="AFS_NA_ehd_L" localSheetId="2">'[2]Liander'!#REF!</definedName>
    <definedName name="AFS_NA_ehd_L" localSheetId="6">'[2]Liander'!#REF!</definedName>
    <definedName name="AFS_NA_ehd_L" localSheetId="5">'[2]Liander'!#REF!</definedName>
    <definedName name="AFS_NA_ehd_L" localSheetId="1">'[2]Liander'!#REF!</definedName>
    <definedName name="AFS_NA_ehd_L">'[2]Liander'!#REF!</definedName>
    <definedName name="AFS_NA_ehd_N" localSheetId="2">'[2]EndinetRE'!#REF!</definedName>
    <definedName name="AFS_NA_ehd_N" localSheetId="6">'[2]EndinetRE'!#REF!</definedName>
    <definedName name="AFS_NA_ehd_N" localSheetId="5">'[2]EndinetRE'!#REF!</definedName>
    <definedName name="AFS_NA_ehd_N" localSheetId="1">'[2]EndinetRE'!#REF!</definedName>
    <definedName name="AFS_NA_ehd_N">'[2]EndinetRE'!#REF!</definedName>
    <definedName name="AFS_NA_ehd_O" localSheetId="2">'[2]EndinetOB'!#REF!</definedName>
    <definedName name="AFS_NA_ehd_O" localSheetId="6">'[2]EndinetOB'!#REF!</definedName>
    <definedName name="AFS_NA_ehd_O" localSheetId="5">'[2]EndinetOB'!#REF!</definedName>
    <definedName name="AFS_NA_ehd_O" localSheetId="1">'[2]EndinetOB'!#REF!</definedName>
    <definedName name="AFS_NA_ehd_O">'[2]EndinetOB'!#REF!</definedName>
    <definedName name="AFS_NA_ehd_R" localSheetId="2">'[2]Rendo'!#REF!</definedName>
    <definedName name="AFS_NA_ehd_R" localSheetId="6">'[2]Rendo'!#REF!</definedName>
    <definedName name="AFS_NA_ehd_R" localSheetId="5">'[2]Rendo'!#REF!</definedName>
    <definedName name="AFS_NA_ehd_R" localSheetId="1">'[2]Rendo'!#REF!</definedName>
    <definedName name="AFS_NA_ehd_R">'[2]Rendo'!#REF!</definedName>
    <definedName name="AFS_NA_ehd_S" localSheetId="2">'[2]Stedin'!#REF!</definedName>
    <definedName name="AFS_NA_ehd_S" localSheetId="6">'[2]Stedin'!#REF!</definedName>
    <definedName name="AFS_NA_ehd_S" localSheetId="5">'[2]Stedin'!#REF!</definedName>
    <definedName name="AFS_NA_ehd_S" localSheetId="1">'[2]Stedin'!#REF!</definedName>
    <definedName name="AFS_NA_ehd_S">'[2]Stedin'!#REF!</definedName>
    <definedName name="AFS_NA_ehd_W" localSheetId="2">'[2]Westland'!#REF!</definedName>
    <definedName name="AFS_NA_ehd_W" localSheetId="6">'[2]Westland'!#REF!</definedName>
    <definedName name="AFS_NA_ehd_W" localSheetId="5">'[2]Westland'!#REF!</definedName>
    <definedName name="AFS_NA_ehd_W" localSheetId="1">'[2]Westland'!#REF!</definedName>
    <definedName name="AFS_NA_ehd_W">'[2]Westland'!#REF!</definedName>
    <definedName name="AFS_NA_ehd_Z" localSheetId="2">'[2]Zebra'!#REF!</definedName>
    <definedName name="AFS_NA_ehd_Z" localSheetId="6">'[2]Zebra'!#REF!</definedName>
    <definedName name="AFS_NA_ehd_Z" localSheetId="5">'[2]Zebra'!#REF!</definedName>
    <definedName name="AFS_NA_ehd_Z" localSheetId="1">'[2]Zebra'!#REF!</definedName>
    <definedName name="AFS_NA_ehd_Z">'[2]Zebra'!#REF!</definedName>
    <definedName name="AFS_NA_ehv_L" localSheetId="2">'[2]Liander'!#REF!</definedName>
    <definedName name="AFS_NA_ehv_L" localSheetId="6">'[2]Liander'!#REF!</definedName>
    <definedName name="AFS_NA_ehv_L" localSheetId="5">'[2]Liander'!#REF!</definedName>
    <definedName name="AFS_NA_ehv_L" localSheetId="1">'[2]Liander'!#REF!</definedName>
    <definedName name="AFS_NA_ehv_L">'[2]Liander'!#REF!</definedName>
    <definedName name="AFS_NA_H" localSheetId="2">'[2]Haarlemmermeer'!#REF!</definedName>
    <definedName name="AFS_NA_H" localSheetId="6">'[2]Haarlemmermeer'!#REF!</definedName>
    <definedName name="AFS_NA_H" localSheetId="5">'[2]Haarlemmermeer'!#REF!</definedName>
    <definedName name="AFS_NA_H" localSheetId="1">'[2]Haarlemmermeer'!#REF!</definedName>
    <definedName name="AFS_NA_H">'[2]Haarlemmermeer'!#REF!</definedName>
    <definedName name="AFS_NA_I" localSheetId="2">'[2]Intergas'!#REF!</definedName>
    <definedName name="AFS_NA_I" localSheetId="6">'[2]Intergas'!#REF!</definedName>
    <definedName name="AFS_NA_I" localSheetId="5">'[2]Intergas'!#REF!</definedName>
    <definedName name="AFS_NA_I" localSheetId="1">'[2]Intergas'!#REF!</definedName>
    <definedName name="AFS_NA_I">'[2]Intergas'!#REF!</definedName>
    <definedName name="AFS_NA_L" localSheetId="2">'[2]Liander'!#REF!</definedName>
    <definedName name="AFS_NA_L" localSheetId="6">'[2]Liander'!#REF!</definedName>
    <definedName name="AFS_NA_L" localSheetId="5">'[2]Liander'!#REF!</definedName>
    <definedName name="AFS_NA_L" localSheetId="1">'[2]Liander'!#REF!</definedName>
    <definedName name="AFS_NA_L">'[2]Liander'!#REF!</definedName>
    <definedName name="AFS_NA_N" localSheetId="2">'[2]EndinetRE'!#REF!</definedName>
    <definedName name="AFS_NA_N" localSheetId="6">'[2]EndinetRE'!#REF!</definedName>
    <definedName name="AFS_NA_N" localSheetId="5">'[2]EndinetRE'!#REF!</definedName>
    <definedName name="AFS_NA_N" localSheetId="1">'[2]EndinetRE'!#REF!</definedName>
    <definedName name="AFS_NA_N">'[2]EndinetRE'!#REF!</definedName>
    <definedName name="AFS_NA_O" localSheetId="2">'[2]EndinetOB'!#REF!</definedName>
    <definedName name="AFS_NA_O" localSheetId="6">'[2]EndinetOB'!#REF!</definedName>
    <definedName name="AFS_NA_O" localSheetId="5">'[2]EndinetOB'!#REF!</definedName>
    <definedName name="AFS_NA_O" localSheetId="1">'[2]EndinetOB'!#REF!</definedName>
    <definedName name="AFS_NA_O">'[2]EndinetOB'!#REF!</definedName>
    <definedName name="AFS_NA_plus_COGAS" localSheetId="2">'[2]Cogas'!#REF!</definedName>
    <definedName name="AFS_NA_plus_COGAS" localSheetId="6">'[2]Cogas'!#REF!</definedName>
    <definedName name="AFS_NA_plus_COGAS" localSheetId="5">'[2]Cogas'!#REF!</definedName>
    <definedName name="AFS_NA_plus_COGAS" localSheetId="1">'[2]Cogas'!#REF!</definedName>
    <definedName name="AFS_NA_plus_COGAS">'[2]Cogas'!#REF!</definedName>
    <definedName name="AFS_NA_plus_D" localSheetId="2">'[2]DNWB'!#REF!</definedName>
    <definedName name="AFS_NA_plus_D" localSheetId="6">'[2]DNWB'!#REF!</definedName>
    <definedName name="AFS_NA_plus_D" localSheetId="5">'[2]DNWB'!#REF!</definedName>
    <definedName name="AFS_NA_plus_D" localSheetId="1">'[2]DNWB'!#REF!</definedName>
    <definedName name="AFS_NA_plus_D">'[2]DNWB'!#REF!</definedName>
    <definedName name="AFS_NA_plus_E" localSheetId="2">'[2]Enexis'!#REF!</definedName>
    <definedName name="AFS_NA_plus_E" localSheetId="6">'[2]Enexis'!#REF!</definedName>
    <definedName name="AFS_NA_plus_E" localSheetId="5">'[2]Enexis'!#REF!</definedName>
    <definedName name="AFS_NA_plus_E" localSheetId="1">'[2]Enexis'!#REF!</definedName>
    <definedName name="AFS_NA_plus_E">'[2]Enexis'!#REF!</definedName>
    <definedName name="AFS_NA_plus_H" localSheetId="2">'[2]Haarlemmermeer'!#REF!</definedName>
    <definedName name="AFS_NA_plus_H" localSheetId="6">'[2]Haarlemmermeer'!#REF!</definedName>
    <definedName name="AFS_NA_plus_H" localSheetId="5">'[2]Haarlemmermeer'!#REF!</definedName>
    <definedName name="AFS_NA_plus_H" localSheetId="1">'[2]Haarlemmermeer'!#REF!</definedName>
    <definedName name="AFS_NA_plus_H">'[2]Haarlemmermeer'!#REF!</definedName>
    <definedName name="AFS_NA_plus_I" localSheetId="2">'[2]Intergas'!#REF!</definedName>
    <definedName name="AFS_NA_plus_I" localSheetId="6">'[2]Intergas'!#REF!</definedName>
    <definedName name="AFS_NA_plus_I" localSheetId="5">'[2]Intergas'!#REF!</definedName>
    <definedName name="AFS_NA_plus_I" localSheetId="1">'[2]Intergas'!#REF!</definedName>
    <definedName name="AFS_NA_plus_I">'[2]Intergas'!#REF!</definedName>
    <definedName name="AFS_NA_plus_L" localSheetId="2">'[2]Liander'!#REF!</definedName>
    <definedName name="AFS_NA_plus_L" localSheetId="6">'[2]Liander'!#REF!</definedName>
    <definedName name="AFS_NA_plus_L" localSheetId="5">'[2]Liander'!#REF!</definedName>
    <definedName name="AFS_NA_plus_L" localSheetId="1">'[2]Liander'!#REF!</definedName>
    <definedName name="AFS_NA_plus_L">'[2]Liander'!#REF!</definedName>
    <definedName name="AFS_NA_plus_N" localSheetId="2">'[2]EndinetRE'!#REF!</definedName>
    <definedName name="AFS_NA_plus_N" localSheetId="6">'[2]EndinetRE'!#REF!</definedName>
    <definedName name="AFS_NA_plus_N" localSheetId="5">'[2]EndinetRE'!#REF!</definedName>
    <definedName name="AFS_NA_plus_N" localSheetId="1">'[2]EndinetRE'!#REF!</definedName>
    <definedName name="AFS_NA_plus_N">'[2]EndinetRE'!#REF!</definedName>
    <definedName name="AFS_NA_plus_O" localSheetId="2">'[2]EndinetOB'!#REF!</definedName>
    <definedName name="AFS_NA_plus_O" localSheetId="6">'[2]EndinetOB'!#REF!</definedName>
    <definedName name="AFS_NA_plus_O" localSheetId="5">'[2]EndinetOB'!#REF!</definedName>
    <definedName name="AFS_NA_plus_O" localSheetId="1">'[2]EndinetOB'!#REF!</definedName>
    <definedName name="AFS_NA_plus_O">'[2]EndinetOB'!#REF!</definedName>
    <definedName name="AFS_NA_plus_R" localSheetId="2">'[2]Rendo'!#REF!</definedName>
    <definedName name="AFS_NA_plus_R" localSheetId="6">'[2]Rendo'!#REF!</definedName>
    <definedName name="AFS_NA_plus_R" localSheetId="5">'[2]Rendo'!#REF!</definedName>
    <definedName name="AFS_NA_plus_R" localSheetId="1">'[2]Rendo'!#REF!</definedName>
    <definedName name="AFS_NA_plus_R">'[2]Rendo'!#REF!</definedName>
    <definedName name="AFS_NA_plus_S" localSheetId="2">'[2]Stedin'!#REF!</definedName>
    <definedName name="AFS_NA_plus_S" localSheetId="6">'[2]Stedin'!#REF!</definedName>
    <definedName name="AFS_NA_plus_S" localSheetId="5">'[2]Stedin'!#REF!</definedName>
    <definedName name="AFS_NA_plus_S" localSheetId="1">'[2]Stedin'!#REF!</definedName>
    <definedName name="AFS_NA_plus_S">'[2]Stedin'!#REF!</definedName>
    <definedName name="AFS_NA_plus_W" localSheetId="2">'[2]Westland'!#REF!</definedName>
    <definedName name="AFS_NA_plus_W" localSheetId="6">'[2]Westland'!#REF!</definedName>
    <definedName name="AFS_NA_plus_W" localSheetId="5">'[2]Westland'!#REF!</definedName>
    <definedName name="AFS_NA_plus_W" localSheetId="1">'[2]Westland'!#REF!</definedName>
    <definedName name="AFS_NA_plus_W">'[2]Westland'!#REF!</definedName>
    <definedName name="AFS_NA_plus_Z" localSheetId="2">'[2]Zebra'!#REF!</definedName>
    <definedName name="AFS_NA_plus_Z" localSheetId="6">'[2]Zebra'!#REF!</definedName>
    <definedName name="AFS_NA_plus_Z" localSheetId="5">'[2]Zebra'!#REF!</definedName>
    <definedName name="AFS_NA_plus_Z" localSheetId="1">'[2]Zebra'!#REF!</definedName>
    <definedName name="AFS_NA_plus_Z">'[2]Zebra'!#REF!</definedName>
    <definedName name="AFS_NA_R" localSheetId="2">'[2]Rendo'!#REF!</definedName>
    <definedName name="AFS_NA_R" localSheetId="6">'[2]Rendo'!#REF!</definedName>
    <definedName name="AFS_NA_R" localSheetId="5">'[2]Rendo'!#REF!</definedName>
    <definedName name="AFS_NA_R" localSheetId="1">'[2]Rendo'!#REF!</definedName>
    <definedName name="AFS_NA_R">'[2]Rendo'!#REF!</definedName>
    <definedName name="AFS_NA_S" localSheetId="2">'[2]Stedin'!#REF!</definedName>
    <definedName name="AFS_NA_S" localSheetId="6">'[2]Stedin'!#REF!</definedName>
    <definedName name="AFS_NA_S" localSheetId="5">'[2]Stedin'!#REF!</definedName>
    <definedName name="AFS_NA_S" localSheetId="1">'[2]Stedin'!#REF!</definedName>
    <definedName name="AFS_NA_S">'[2]Stedin'!#REF!</definedName>
    <definedName name="AFS_NA_W" localSheetId="2">'[2]Westland'!#REF!</definedName>
    <definedName name="AFS_NA_W" localSheetId="6">'[2]Westland'!#REF!</definedName>
    <definedName name="AFS_NA_W" localSheetId="5">'[2]Westland'!#REF!</definedName>
    <definedName name="AFS_NA_W" localSheetId="1">'[2]Westland'!#REF!</definedName>
    <definedName name="AFS_NA_W">'[2]Westland'!#REF!</definedName>
    <definedName name="AFS_NA_Z" localSheetId="2">'[2]Zebra'!#REF!</definedName>
    <definedName name="AFS_NA_Z" localSheetId="6">'[2]Zebra'!#REF!</definedName>
    <definedName name="AFS_NA_Z" localSheetId="5">'[2]Zebra'!#REF!</definedName>
    <definedName name="AFS_NA_Z" localSheetId="1">'[2]Zebra'!#REF!</definedName>
    <definedName name="AFS_NA_Z">'[2]Zebra'!#REF!</definedName>
    <definedName name="AFS_NW_H" localSheetId="2">'[2]Haarlemmermeer'!#REF!</definedName>
    <definedName name="AFS_NW_H" localSheetId="6">'[2]Haarlemmermeer'!#REF!</definedName>
    <definedName name="AFS_NW_H" localSheetId="5">'[2]Haarlemmermeer'!#REF!</definedName>
    <definedName name="AFS_NW_H" localSheetId="1">'[2]Haarlemmermeer'!#REF!</definedName>
    <definedName name="AFS_NW_H">'[2]Haarlemmermeer'!#REF!</definedName>
    <definedName name="AFS_SW" localSheetId="2">'[2]Cogas'!#REF!</definedName>
    <definedName name="AFS_SW" localSheetId="6">'[2]Cogas'!#REF!</definedName>
    <definedName name="AFS_SW" localSheetId="5">'[2]Cogas'!#REF!</definedName>
    <definedName name="AFS_SW" localSheetId="1">'[2]Cogas'!#REF!</definedName>
    <definedName name="AFS_SW">'[2]Cogas'!#REF!</definedName>
    <definedName name="AFS_SW_COGAS" localSheetId="2">'[2]Cogas'!#REF!</definedName>
    <definedName name="AFS_SW_COGAS" localSheetId="6">'[2]Cogas'!#REF!</definedName>
    <definedName name="AFS_SW_COGAS" localSheetId="5">'[2]Cogas'!#REF!</definedName>
    <definedName name="AFS_SW_COGAS" localSheetId="1">'[2]Cogas'!#REF!</definedName>
    <definedName name="AFS_SW_COGAS">'[2]Cogas'!#REF!</definedName>
    <definedName name="AFS_SW_D" localSheetId="2">'[2]DNWB'!#REF!</definedName>
    <definedName name="AFS_SW_D" localSheetId="6">'[2]DNWB'!#REF!</definedName>
    <definedName name="AFS_SW_D" localSheetId="5">'[2]DNWB'!#REF!</definedName>
    <definedName name="AFS_SW_D" localSheetId="1">'[2]DNWB'!#REF!</definedName>
    <definedName name="AFS_SW_D">'[2]DNWB'!#REF!</definedName>
    <definedName name="AFS_SW_E" localSheetId="2">'[2]Enexis'!#REF!</definedName>
    <definedName name="AFS_SW_E" localSheetId="6">'[2]Enexis'!#REF!</definedName>
    <definedName name="AFS_SW_E" localSheetId="5">'[2]Enexis'!#REF!</definedName>
    <definedName name="AFS_SW_E" localSheetId="1">'[2]Enexis'!#REF!</definedName>
    <definedName name="AFS_SW_E">'[2]Enexis'!#REF!</definedName>
    <definedName name="AFS_SW_ehd_COGAS" localSheetId="2">'[2]Cogas'!#REF!</definedName>
    <definedName name="AFS_SW_ehd_COGAS" localSheetId="6">'[2]Cogas'!#REF!</definedName>
    <definedName name="AFS_SW_ehd_COGAS" localSheetId="5">'[2]Cogas'!#REF!</definedName>
    <definedName name="AFS_SW_ehd_COGAS" localSheetId="1">'[2]Cogas'!#REF!</definedName>
    <definedName name="AFS_SW_ehd_COGAS">'[2]Cogas'!#REF!</definedName>
    <definedName name="AFS_SW_ehd_D" localSheetId="2">'[2]DNWB'!#REF!</definedName>
    <definedName name="AFS_SW_ehd_D" localSheetId="6">'[2]DNWB'!#REF!</definedName>
    <definedName name="AFS_SW_ehd_D" localSheetId="5">'[2]DNWB'!#REF!</definedName>
    <definedName name="AFS_SW_ehd_D" localSheetId="1">'[2]DNWB'!#REF!</definedName>
    <definedName name="AFS_SW_ehd_D">'[2]DNWB'!#REF!</definedName>
    <definedName name="AFS_SW_ehd_E" localSheetId="2">'[2]Enexis'!#REF!</definedName>
    <definedName name="AFS_SW_ehd_E" localSheetId="6">'[2]Enexis'!#REF!</definedName>
    <definedName name="AFS_SW_ehd_E" localSheetId="5">'[2]Enexis'!#REF!</definedName>
    <definedName name="AFS_SW_ehd_E" localSheetId="1">'[2]Enexis'!#REF!</definedName>
    <definedName name="AFS_SW_ehd_E">'[2]Enexis'!#REF!</definedName>
    <definedName name="AFS_SW_ehd_H" localSheetId="2">'[2]Haarlemmermeer'!#REF!</definedName>
    <definedName name="AFS_SW_ehd_H" localSheetId="6">'[2]Haarlemmermeer'!#REF!</definedName>
    <definedName name="AFS_SW_ehd_H" localSheetId="5">'[2]Haarlemmermeer'!#REF!</definedName>
    <definedName name="AFS_SW_ehd_H" localSheetId="1">'[2]Haarlemmermeer'!#REF!</definedName>
    <definedName name="AFS_SW_ehd_H">'[2]Haarlemmermeer'!#REF!</definedName>
    <definedName name="AFS_SW_ehd_I" localSheetId="2">'[2]Intergas'!#REF!</definedName>
    <definedName name="AFS_SW_ehd_I" localSheetId="6">'[2]Intergas'!#REF!</definedName>
    <definedName name="AFS_SW_ehd_I" localSheetId="5">'[2]Intergas'!#REF!</definedName>
    <definedName name="AFS_SW_ehd_I" localSheetId="1">'[2]Intergas'!#REF!</definedName>
    <definedName name="AFS_SW_ehd_I">'[2]Intergas'!#REF!</definedName>
    <definedName name="AFS_SW_ehd_L" localSheetId="2">'[2]Liander'!#REF!</definedName>
    <definedName name="AFS_SW_ehd_L" localSheetId="6">'[2]Liander'!#REF!</definedName>
    <definedName name="AFS_SW_ehd_L" localSheetId="5">'[2]Liander'!#REF!</definedName>
    <definedName name="AFS_SW_ehd_L" localSheetId="1">'[2]Liander'!#REF!</definedName>
    <definedName name="AFS_SW_ehd_L">'[2]Liander'!#REF!</definedName>
    <definedName name="AFS_SW_ehd_N" localSheetId="2">'[2]EndinetRE'!#REF!</definedName>
    <definedName name="AFS_SW_ehd_N" localSheetId="6">'[2]EndinetRE'!#REF!</definedName>
    <definedName name="AFS_SW_ehd_N" localSheetId="5">'[2]EndinetRE'!#REF!</definedName>
    <definedName name="AFS_SW_ehd_N" localSheetId="1">'[2]EndinetRE'!#REF!</definedName>
    <definedName name="AFS_SW_ehd_N">'[2]EndinetRE'!#REF!</definedName>
    <definedName name="AFS_SW_ehd_O" localSheetId="2">'[2]EndinetOB'!#REF!</definedName>
    <definedName name="AFS_SW_ehd_O" localSheetId="6">'[2]EndinetOB'!#REF!</definedName>
    <definedName name="AFS_SW_ehd_O" localSheetId="5">'[2]EndinetOB'!#REF!</definedName>
    <definedName name="AFS_SW_ehd_O" localSheetId="1">'[2]EndinetOB'!#REF!</definedName>
    <definedName name="AFS_SW_ehd_O">'[2]EndinetOB'!#REF!</definedName>
    <definedName name="AFS_SW_ehd_R" localSheetId="2">'[2]Rendo'!#REF!</definedName>
    <definedName name="AFS_SW_ehd_R" localSheetId="6">'[2]Rendo'!#REF!</definedName>
    <definedName name="AFS_SW_ehd_R" localSheetId="5">'[2]Rendo'!#REF!</definedName>
    <definedName name="AFS_SW_ehd_R" localSheetId="1">'[2]Rendo'!#REF!</definedName>
    <definedName name="AFS_SW_ehd_R">'[2]Rendo'!#REF!</definedName>
    <definedName name="AFS_SW_ehd_S" localSheetId="2">'[2]Stedin'!#REF!</definedName>
    <definedName name="AFS_SW_ehd_S" localSheetId="6">'[2]Stedin'!#REF!</definedName>
    <definedName name="AFS_SW_ehd_S" localSheetId="5">'[2]Stedin'!#REF!</definedName>
    <definedName name="AFS_SW_ehd_S" localSheetId="1">'[2]Stedin'!#REF!</definedName>
    <definedName name="AFS_SW_ehd_S">'[2]Stedin'!#REF!</definedName>
    <definedName name="AFS_SW_ehd_W" localSheetId="2">'[2]Westland'!#REF!</definedName>
    <definedName name="AFS_SW_ehd_W" localSheetId="6">'[2]Westland'!#REF!</definedName>
    <definedName name="AFS_SW_ehd_W" localSheetId="5">'[2]Westland'!#REF!</definedName>
    <definedName name="AFS_SW_ehd_W" localSheetId="1">'[2]Westland'!#REF!</definedName>
    <definedName name="AFS_SW_ehd_W">'[2]Westland'!#REF!</definedName>
    <definedName name="AFS_SW_ehd_Z" localSheetId="2">'[2]Zebra'!#REF!</definedName>
    <definedName name="AFS_SW_ehd_Z" localSheetId="6">'[2]Zebra'!#REF!</definedName>
    <definedName name="AFS_SW_ehd_Z" localSheetId="5">'[2]Zebra'!#REF!</definedName>
    <definedName name="AFS_SW_ehd_Z" localSheetId="1">'[2]Zebra'!#REF!</definedName>
    <definedName name="AFS_SW_ehd_Z">'[2]Zebra'!#REF!</definedName>
    <definedName name="AFS_SW_ehv_L" localSheetId="2">'[2]Liander'!#REF!</definedName>
    <definedName name="AFS_SW_ehv_L" localSheetId="6">'[2]Liander'!#REF!</definedName>
    <definedName name="AFS_SW_ehv_L" localSheetId="5">'[2]Liander'!#REF!</definedName>
    <definedName name="AFS_SW_ehv_L" localSheetId="1">'[2]Liander'!#REF!</definedName>
    <definedName name="AFS_SW_ehv_L">'[2]Liander'!#REF!</definedName>
    <definedName name="AFS_SW_H" localSheetId="2">'[2]Haarlemmermeer'!#REF!</definedName>
    <definedName name="AFS_SW_H" localSheetId="6">'[2]Haarlemmermeer'!#REF!</definedName>
    <definedName name="AFS_SW_H" localSheetId="5">'[2]Haarlemmermeer'!#REF!</definedName>
    <definedName name="AFS_SW_H" localSheetId="1">'[2]Haarlemmermeer'!#REF!</definedName>
    <definedName name="AFS_SW_H">'[2]Haarlemmermeer'!#REF!</definedName>
    <definedName name="AFS_SW_I" localSheetId="2">'[2]Intergas'!#REF!</definedName>
    <definedName name="AFS_SW_I" localSheetId="6">'[2]Intergas'!#REF!</definedName>
    <definedName name="AFS_SW_I" localSheetId="5">'[2]Intergas'!#REF!</definedName>
    <definedName name="AFS_SW_I" localSheetId="1">'[2]Intergas'!#REF!</definedName>
    <definedName name="AFS_SW_I">'[2]Intergas'!#REF!</definedName>
    <definedName name="AFS_SW_L" localSheetId="2">'[2]Liander'!#REF!</definedName>
    <definedName name="AFS_SW_L" localSheetId="6">'[2]Liander'!#REF!</definedName>
    <definedName name="AFS_SW_L" localSheetId="5">'[2]Liander'!#REF!</definedName>
    <definedName name="AFS_SW_L" localSheetId="1">'[2]Liander'!#REF!</definedName>
    <definedName name="AFS_SW_L">'[2]Liander'!#REF!</definedName>
    <definedName name="AFS_SW_N" localSheetId="2">'[2]EndinetRE'!#REF!</definedName>
    <definedName name="AFS_SW_N" localSheetId="6">'[2]EndinetRE'!#REF!</definedName>
    <definedName name="AFS_SW_N" localSheetId="5">'[2]EndinetRE'!#REF!</definedName>
    <definedName name="AFS_SW_N" localSheetId="1">'[2]EndinetRE'!#REF!</definedName>
    <definedName name="AFS_SW_N">'[2]EndinetRE'!#REF!</definedName>
    <definedName name="AFS_SW_O" localSheetId="2">'[2]EndinetOB'!#REF!</definedName>
    <definedName name="AFS_SW_O" localSheetId="6">'[2]EndinetOB'!#REF!</definedName>
    <definedName name="AFS_SW_O" localSheetId="5">'[2]EndinetOB'!#REF!</definedName>
    <definedName name="AFS_SW_O" localSheetId="1">'[2]EndinetOB'!#REF!</definedName>
    <definedName name="AFS_SW_O">'[2]EndinetOB'!#REF!</definedName>
    <definedName name="AFS_SW_plus_COGAS" localSheetId="2">'[2]Cogas'!#REF!</definedName>
    <definedName name="AFS_SW_plus_COGAS" localSheetId="6">'[2]Cogas'!#REF!</definedName>
    <definedName name="AFS_SW_plus_COGAS" localSheetId="5">'[2]Cogas'!#REF!</definedName>
    <definedName name="AFS_SW_plus_COGAS" localSheetId="1">'[2]Cogas'!#REF!</definedName>
    <definedName name="AFS_SW_plus_COGAS">'[2]Cogas'!#REF!</definedName>
    <definedName name="AFS_SW_plus_D" localSheetId="2">'[2]DNWB'!#REF!</definedName>
    <definedName name="AFS_SW_plus_D" localSheetId="6">'[2]DNWB'!#REF!</definedName>
    <definedName name="AFS_SW_plus_D" localSheetId="5">'[2]DNWB'!#REF!</definedName>
    <definedName name="AFS_SW_plus_D" localSheetId="1">'[2]DNWB'!#REF!</definedName>
    <definedName name="AFS_SW_plus_D">'[2]DNWB'!#REF!</definedName>
    <definedName name="AFS_SW_plus_E" localSheetId="2">'[2]Enexis'!#REF!</definedName>
    <definedName name="AFS_SW_plus_E" localSheetId="6">'[2]Enexis'!#REF!</definedName>
    <definedName name="AFS_SW_plus_E" localSheetId="5">'[2]Enexis'!#REF!</definedName>
    <definedName name="AFS_SW_plus_E" localSheetId="1">'[2]Enexis'!#REF!</definedName>
    <definedName name="AFS_SW_plus_E">'[2]Enexis'!#REF!</definedName>
    <definedName name="AFS_SW_plus_H" localSheetId="2">'[2]Haarlemmermeer'!#REF!</definedName>
    <definedName name="AFS_SW_plus_H" localSheetId="6">'[2]Haarlemmermeer'!#REF!</definedName>
    <definedName name="AFS_SW_plus_H" localSheetId="5">'[2]Haarlemmermeer'!#REF!</definedName>
    <definedName name="AFS_SW_plus_H" localSheetId="1">'[2]Haarlemmermeer'!#REF!</definedName>
    <definedName name="AFS_SW_plus_H">'[2]Haarlemmermeer'!#REF!</definedName>
    <definedName name="AFS_SW_plus_I" localSheetId="2">'[2]Intergas'!#REF!</definedName>
    <definedName name="AFS_SW_plus_I" localSheetId="6">'[2]Intergas'!#REF!</definedName>
    <definedName name="AFS_SW_plus_I" localSheetId="5">'[2]Intergas'!#REF!</definedName>
    <definedName name="AFS_SW_plus_I" localSheetId="1">'[2]Intergas'!#REF!</definedName>
    <definedName name="AFS_SW_plus_I">'[2]Intergas'!#REF!</definedName>
    <definedName name="AFS_SW_plus_L" localSheetId="2">'[2]Liander'!#REF!</definedName>
    <definedName name="AFS_SW_plus_L" localSheetId="6">'[2]Liander'!#REF!</definedName>
    <definedName name="AFS_SW_plus_L" localSheetId="5">'[2]Liander'!#REF!</definedName>
    <definedName name="AFS_SW_plus_L" localSheetId="1">'[2]Liander'!#REF!</definedName>
    <definedName name="AFS_SW_plus_L">'[2]Liander'!#REF!</definedName>
    <definedName name="AFS_SW_plus_N" localSheetId="2">'[2]EndinetRE'!#REF!</definedName>
    <definedName name="AFS_SW_plus_N" localSheetId="6">'[2]EndinetRE'!#REF!</definedName>
    <definedName name="AFS_SW_plus_N" localSheetId="5">'[2]EndinetRE'!#REF!</definedName>
    <definedName name="AFS_SW_plus_N" localSheetId="1">'[2]EndinetRE'!#REF!</definedName>
    <definedName name="AFS_SW_plus_N">'[2]EndinetRE'!#REF!</definedName>
    <definedName name="AFS_SW_plus_O" localSheetId="2">'[2]EndinetOB'!#REF!</definedName>
    <definedName name="AFS_SW_plus_O" localSheetId="6">'[2]EndinetOB'!#REF!</definedName>
    <definedName name="AFS_SW_plus_O" localSheetId="5">'[2]EndinetOB'!#REF!</definedName>
    <definedName name="AFS_SW_plus_O" localSheetId="1">'[2]EndinetOB'!#REF!</definedName>
    <definedName name="AFS_SW_plus_O">'[2]EndinetOB'!#REF!</definedName>
    <definedName name="AFS_SW_plus_R" localSheetId="2">'[2]Rendo'!#REF!</definedName>
    <definedName name="AFS_SW_plus_R" localSheetId="6">'[2]Rendo'!#REF!</definedName>
    <definedName name="AFS_SW_plus_R" localSheetId="5">'[2]Rendo'!#REF!</definedName>
    <definedName name="AFS_SW_plus_R" localSheetId="1">'[2]Rendo'!#REF!</definedName>
    <definedName name="AFS_SW_plus_R">'[2]Rendo'!#REF!</definedName>
    <definedName name="AFS_SW_plus_S" localSheetId="2">'[2]Stedin'!#REF!</definedName>
    <definedName name="AFS_SW_plus_S" localSheetId="6">'[2]Stedin'!#REF!</definedName>
    <definedName name="AFS_SW_plus_S" localSheetId="5">'[2]Stedin'!#REF!</definedName>
    <definedName name="AFS_SW_plus_S" localSheetId="1">'[2]Stedin'!#REF!</definedName>
    <definedName name="AFS_SW_plus_S">'[2]Stedin'!#REF!</definedName>
    <definedName name="AFS_SW_plus_W" localSheetId="2">'[2]Westland'!#REF!</definedName>
    <definedName name="AFS_SW_plus_W" localSheetId="6">'[2]Westland'!#REF!</definedName>
    <definedName name="AFS_SW_plus_W" localSheetId="5">'[2]Westland'!#REF!</definedName>
    <definedName name="AFS_SW_plus_W" localSheetId="1">'[2]Westland'!#REF!</definedName>
    <definedName name="AFS_SW_plus_W">'[2]Westland'!#REF!</definedName>
    <definedName name="AFS_SW_plus_Z" localSheetId="2">'[2]Zebra'!#REF!</definedName>
    <definedName name="AFS_SW_plus_Z" localSheetId="6">'[2]Zebra'!#REF!</definedName>
    <definedName name="AFS_SW_plus_Z" localSheetId="5">'[2]Zebra'!#REF!</definedName>
    <definedName name="AFS_SW_plus_Z" localSheetId="1">'[2]Zebra'!#REF!</definedName>
    <definedName name="AFS_SW_plus_Z">'[2]Zebra'!#REF!</definedName>
    <definedName name="AFS_SW_R" localSheetId="2">'[2]Rendo'!#REF!</definedName>
    <definedName name="AFS_SW_R" localSheetId="6">'[2]Rendo'!#REF!</definedName>
    <definedName name="AFS_SW_R" localSheetId="5">'[2]Rendo'!#REF!</definedName>
    <definedName name="AFS_SW_R" localSheetId="1">'[2]Rendo'!#REF!</definedName>
    <definedName name="AFS_SW_R">'[2]Rendo'!#REF!</definedName>
    <definedName name="AFS_SW_S" localSheetId="2">'[2]Stedin'!#REF!</definedName>
    <definedName name="AFS_SW_S" localSheetId="6">'[2]Stedin'!#REF!</definedName>
    <definedName name="AFS_SW_S" localSheetId="5">'[2]Stedin'!#REF!</definedName>
    <definedName name="AFS_SW_S" localSheetId="1">'[2]Stedin'!#REF!</definedName>
    <definedName name="AFS_SW_S">'[2]Stedin'!#REF!</definedName>
    <definedName name="AFS_SW_W" localSheetId="2">'[2]Westland'!#REF!</definedName>
    <definedName name="AFS_SW_W" localSheetId="6">'[2]Westland'!#REF!</definedName>
    <definedName name="AFS_SW_W" localSheetId="5">'[2]Westland'!#REF!</definedName>
    <definedName name="AFS_SW_W" localSheetId="1">'[2]Westland'!#REF!</definedName>
    <definedName name="AFS_SW_W">'[2]Westland'!#REF!</definedName>
    <definedName name="AFS_SW_Z" localSheetId="2">'[2]Zebra'!#REF!</definedName>
    <definedName name="AFS_SW_Z" localSheetId="6">'[2]Zebra'!#REF!</definedName>
    <definedName name="AFS_SW_Z" localSheetId="5">'[2]Zebra'!#REF!</definedName>
    <definedName name="AFS_SW_Z" localSheetId="1">'[2]Zebra'!#REF!</definedName>
    <definedName name="AFS_SW_Z">'[2]Zebra'!#REF!</definedName>
    <definedName name="AFS_T" localSheetId="2">'CAPEX2009'!#REF!</definedName>
    <definedName name="AFS_T" localSheetId="6">'EAV 2011'!#REF!</definedName>
    <definedName name="AFS_T" localSheetId="5">'PAV 2011'!#REF!</definedName>
    <definedName name="AFS_T" localSheetId="1">'Verschuiving'!#REF!</definedName>
    <definedName name="AFS_T">'GAW2008'!#REF!</definedName>
    <definedName name="ap" localSheetId="2">'CAPEX2009'!#REF!</definedName>
    <definedName name="ap" localSheetId="6">'EAV 2011'!#REF!</definedName>
    <definedName name="ap" localSheetId="5">'PAV 2011'!#REF!</definedName>
    <definedName name="ap" localSheetId="1">'Verschuiving'!#REF!</definedName>
    <definedName name="ap">'GAW2008'!$B$4</definedName>
    <definedName name="AS2DocOpenMode" hidden="1">"AS2DocumentEdit"</definedName>
    <definedName name="C_NA" localSheetId="2">'CAPEX2009'!#REF!</definedName>
    <definedName name="C_NA" localSheetId="6">'EAV 2011'!#REF!</definedName>
    <definedName name="C_NA" localSheetId="5">'PAV 2011'!#REF!</definedName>
    <definedName name="C_NA" localSheetId="1">'Verschuiving'!#REF!</definedName>
    <definedName name="C_NA">'GAW2008'!#REF!</definedName>
    <definedName name="C_NA_ehd" localSheetId="2">'CAPEX2009'!#REF!</definedName>
    <definedName name="C_NA_ehd" localSheetId="6">'EAV 2011'!#REF!</definedName>
    <definedName name="C_NA_ehd" localSheetId="5">'PAV 2011'!#REF!</definedName>
    <definedName name="C_NA_ehd" localSheetId="1">'Verschuiving'!#REF!</definedName>
    <definedName name="C_NA_ehd">'GAW2008'!#REF!</definedName>
    <definedName name="C_NA_plus" localSheetId="2">'CAPEX2009'!#REF!</definedName>
    <definedName name="C_NA_plus" localSheetId="6">'EAV 2011'!#REF!</definedName>
    <definedName name="C_NA_plus" localSheetId="5">'PAV 2011'!#REF!</definedName>
    <definedName name="C_NA_plus" localSheetId="1">'Verschuiving'!#REF!</definedName>
    <definedName name="C_NA_plus">'GAW2008'!#REF!</definedName>
    <definedName name="C_SW" localSheetId="2">'CAPEX2009'!#REF!</definedName>
    <definedName name="C_SW" localSheetId="6">'EAV 2011'!#REF!</definedName>
    <definedName name="C_SW" localSheetId="5">'PAV 2011'!#REF!</definedName>
    <definedName name="C_SW" localSheetId="1">'Verschuiving'!#REF!</definedName>
    <definedName name="C_SW">'GAW2008'!#REF!</definedName>
    <definedName name="C_SW_ehd" localSheetId="2">'CAPEX2009'!#REF!</definedName>
    <definedName name="C_SW_ehd" localSheetId="6">'EAV 2011'!#REF!</definedName>
    <definedName name="C_SW_ehd" localSheetId="5">'PAV 2011'!#REF!</definedName>
    <definedName name="C_SW_ehd" localSheetId="1">'Verschuiving'!#REF!</definedName>
    <definedName name="C_SW_ehd">'GAW2008'!#REF!</definedName>
    <definedName name="C_SW_plus" localSheetId="2">'CAPEX2009'!#REF!</definedName>
    <definedName name="C_SW_plus" localSheetId="6">'EAV 2011'!#REF!</definedName>
    <definedName name="C_SW_plus" localSheetId="5">'PAV 2011'!#REF!</definedName>
    <definedName name="C_SW_plus" localSheetId="1">'Verschuiving'!#REF!</definedName>
    <definedName name="C_SW_plus">'GAW2008'!#REF!</definedName>
    <definedName name="CPI" localSheetId="2">#REF!</definedName>
    <definedName name="CPI" localSheetId="6">#REF!</definedName>
    <definedName name="CPI" localSheetId="5">#REF!</definedName>
    <definedName name="CPI" localSheetId="1">#REF!</definedName>
    <definedName name="CPI">#REF!</definedName>
    <definedName name="CPIv2000n2001" localSheetId="8">#REF!</definedName>
    <definedName name="CPIv2000n2001">'[1]CPI en WACC'!$C$31</definedName>
    <definedName name="CPIv2000n2002" localSheetId="8">#REF!</definedName>
    <definedName name="CPIv2000n2002">'[1]CPI en WACC'!$C$32</definedName>
    <definedName name="CPIv2000n2003" localSheetId="8">#REF!</definedName>
    <definedName name="CPIv2000n2003">'[1]CPI en WACC'!$C$33</definedName>
    <definedName name="CPIv2000n2004" localSheetId="8">#REF!</definedName>
    <definedName name="CPIv2000n2004">'[1]CPI en WACC'!$C$34</definedName>
    <definedName name="CPIv2000n2005" localSheetId="8">#REF!</definedName>
    <definedName name="CPIv2000n2005">'[1]CPI en WACC'!$C$35</definedName>
    <definedName name="CPIv2000n2006" localSheetId="8">#REF!</definedName>
    <definedName name="CPIv2000n2006">'[1]CPI en WACC'!$C$36</definedName>
    <definedName name="CPIv2000n2007" localSheetId="8">#REF!</definedName>
    <definedName name="CPIv2000n2007">'[1]CPI en WACC'!$C$37</definedName>
    <definedName name="CPIv2000n2008" localSheetId="8">#REF!</definedName>
    <definedName name="CPIv2000n2008">'[1]CPI en WACC'!$C$38</definedName>
    <definedName name="CPIv2000n2009" localSheetId="8">#REF!</definedName>
    <definedName name="CPIv2000n2009">'[1]CPI en WACC'!$C$39</definedName>
    <definedName name="CPIv2000n2010" localSheetId="8">#REF!</definedName>
    <definedName name="CPIv2000n2010">'[1]CPI en WACC'!$C$40</definedName>
    <definedName name="CPIv2000n2011" localSheetId="8">#REF!</definedName>
    <definedName name="CPIv2000n2011">'[1]CPI en WACC'!$C$41</definedName>
    <definedName name="CPIv2000n2012" localSheetId="8">#REF!</definedName>
    <definedName name="CPIv2000n2012">'[1]CPI en WACC'!$C$42</definedName>
    <definedName name="CPIv2000n2013" localSheetId="8">#REF!</definedName>
    <definedName name="CPIv2000n2013">'[1]CPI en WACC'!$C$43</definedName>
    <definedName name="CPIv2001n2002" localSheetId="8">#REF!</definedName>
    <definedName name="CPIv2001n2002">'[1]CPI en WACC'!$D$32</definedName>
    <definedName name="CPIv2001n2003" localSheetId="8">#REF!</definedName>
    <definedName name="CPIv2001n2003">'[1]CPI en WACC'!$D$33</definedName>
    <definedName name="CPIv2001n2004" localSheetId="8">#REF!</definedName>
    <definedName name="CPIv2001n2004">'[1]CPI en WACC'!$D$34</definedName>
    <definedName name="CPIv2001n2005" localSheetId="8">#REF!</definedName>
    <definedName name="CPIv2001n2005">'[1]CPI en WACC'!$D$35</definedName>
    <definedName name="CPIv2001n2006" localSheetId="8">#REF!</definedName>
    <definedName name="CPIv2001n2006">'[1]CPI en WACC'!$D$36</definedName>
    <definedName name="CPIv2001n2007" localSheetId="8">#REF!</definedName>
    <definedName name="CPIv2001n2007">'[1]CPI en WACC'!$D$37</definedName>
    <definedName name="CPIv2001n2008" localSheetId="8">#REF!</definedName>
    <definedName name="CPIv2001n2008">'[1]CPI en WACC'!$D$38</definedName>
    <definedName name="CPIv2001n2009" localSheetId="8">#REF!</definedName>
    <definedName name="CPIv2001n2009">'[1]CPI en WACC'!$D$39</definedName>
    <definedName name="CPIv2001n2010" localSheetId="8">#REF!</definedName>
    <definedName name="CPIv2001n2010">'[1]CPI en WACC'!$D$40</definedName>
    <definedName name="CPIv2001n2011" localSheetId="8">#REF!</definedName>
    <definedName name="CPIv2001n2011">'[1]CPI en WACC'!$D$41</definedName>
    <definedName name="CPIv2001n2012" localSheetId="8">#REF!</definedName>
    <definedName name="CPIv2001n2012">'[1]CPI en WACC'!$D$42</definedName>
    <definedName name="CPIv2001n2013" localSheetId="8">#REF!</definedName>
    <definedName name="CPIv2001n2013">'[1]CPI en WACC'!$D$43</definedName>
    <definedName name="CPIv2002n2003" localSheetId="8">#REF!</definedName>
    <definedName name="CPIv2002n2003">'[1]CPI en WACC'!$E$33</definedName>
    <definedName name="CPIv2002n2004" localSheetId="8">#REF!</definedName>
    <definedName name="CPIv2002n2004">'[1]CPI en WACC'!$E$34</definedName>
    <definedName name="CPIv2002n2005" localSheetId="8">#REF!</definedName>
    <definedName name="CPIv2002n2005">'[1]CPI en WACC'!$E$35</definedName>
    <definedName name="CPIv2002n2006" localSheetId="8">#REF!</definedName>
    <definedName name="CPIv2002n2006">'[1]CPI en WACC'!$E$36</definedName>
    <definedName name="CPIv2002n2007" localSheetId="8">#REF!</definedName>
    <definedName name="CPIv2002n2007">'[1]CPI en WACC'!$E$37</definedName>
    <definedName name="CPIv2002n2008" localSheetId="8">#REF!</definedName>
    <definedName name="CPIv2002n2008">'[1]CPI en WACC'!$E$38</definedName>
    <definedName name="CPIv2002n2009" localSheetId="8">#REF!</definedName>
    <definedName name="CPIv2002n2009">'[1]CPI en WACC'!$E$39</definedName>
    <definedName name="CPIv2002n2010" localSheetId="8">#REF!</definedName>
    <definedName name="CPIv2002n2010">'[1]CPI en WACC'!$E$40</definedName>
    <definedName name="CPIv2002n2011" localSheetId="8">#REF!</definedName>
    <definedName name="CPIv2002n2011">'[1]CPI en WACC'!$E$41</definedName>
    <definedName name="CPIv2002n2012" localSheetId="8">#REF!</definedName>
    <definedName name="CPIv2002n2012">'[1]CPI en WACC'!$E$42</definedName>
    <definedName name="CPIv2002n2013" localSheetId="8">#REF!</definedName>
    <definedName name="CPIv2002n2013">'[1]CPI en WACC'!$E$43</definedName>
    <definedName name="CPIv2003n2004" localSheetId="8">#REF!</definedName>
    <definedName name="CPIv2003n2004">'[1]CPI en WACC'!$F$34</definedName>
    <definedName name="CPIv2003n2005" localSheetId="8">#REF!</definedName>
    <definedName name="CPIv2003n2005">'[1]CPI en WACC'!$F$35</definedName>
    <definedName name="CPIv2003n2006" localSheetId="8">#REF!</definedName>
    <definedName name="CPIv2003n2006">'[1]CPI en WACC'!$F$36</definedName>
    <definedName name="CPIv2003n2007" localSheetId="8">#REF!</definedName>
    <definedName name="CPIv2003n2007">'[1]CPI en WACC'!$F$37</definedName>
    <definedName name="CPIv2003n2008" localSheetId="8">#REF!</definedName>
    <definedName name="CPIv2003n2008">'[1]CPI en WACC'!$F$38</definedName>
    <definedName name="CPIv2003n2009" localSheetId="8">#REF!</definedName>
    <definedName name="CPIv2003n2009">'[1]CPI en WACC'!$F$39</definedName>
    <definedName name="CPIv2003n2010" localSheetId="8">#REF!</definedName>
    <definedName name="CPIv2003n2010">'[1]CPI en WACC'!$F$40</definedName>
    <definedName name="CPIv2003n2011" localSheetId="8">#REF!</definedName>
    <definedName name="CPIv2003n2011">'[1]CPI en WACC'!$F$41</definedName>
    <definedName name="CPIv2003n2012" localSheetId="8">#REF!</definedName>
    <definedName name="CPIv2003n2012">'[1]CPI en WACC'!$F$42</definedName>
    <definedName name="CPIv2003n2013" localSheetId="8">#REF!</definedName>
    <definedName name="CPIv2003n2013">'[1]CPI en WACC'!$F$43</definedName>
    <definedName name="CPIv2004n2005" localSheetId="8">#REF!</definedName>
    <definedName name="CPIv2004n2005">'[1]CPI en WACC'!$G$35</definedName>
    <definedName name="CPIv2004n2006" localSheetId="8">#REF!</definedName>
    <definedName name="CPIv2004n2006">'[1]CPI en WACC'!$G$36</definedName>
    <definedName name="CPIv2004n2007" localSheetId="8">#REF!</definedName>
    <definedName name="CPIv2004n2007">'[1]CPI en WACC'!$G$37</definedName>
    <definedName name="CPIv2004n2008" localSheetId="8">#REF!</definedName>
    <definedName name="CPIv2004n2008">'[1]CPI en WACC'!$G$38</definedName>
    <definedName name="CPIv2004n2009" localSheetId="8">#REF!</definedName>
    <definedName name="CPIv2004n2009">'[1]CPI en WACC'!$G$39</definedName>
    <definedName name="CPIv2004n2010" localSheetId="8">#REF!</definedName>
    <definedName name="CPIv2004n2010">'[1]CPI en WACC'!$G$40</definedName>
    <definedName name="CPIv2004n2011" localSheetId="8">#REF!</definedName>
    <definedName name="CPIv2004n2011">'[1]CPI en WACC'!$G$41</definedName>
    <definedName name="CPIv2004n2012" localSheetId="8">#REF!</definedName>
    <definedName name="CPIv2004n2012">'[1]CPI en WACC'!$G$42</definedName>
    <definedName name="CPIv2004n2013" localSheetId="8">#REF!</definedName>
    <definedName name="CPIv2004n2013">'[1]CPI en WACC'!$G$43</definedName>
    <definedName name="CPIv2005n2006" localSheetId="8">#REF!</definedName>
    <definedName name="CPIv2005n2006">'[1]CPI en WACC'!$H$36</definedName>
    <definedName name="CPIv2005n2007" localSheetId="8">#REF!</definedName>
    <definedName name="CPIv2005n2007">'[1]CPI en WACC'!$H$37</definedName>
    <definedName name="CPIv2005n2008" localSheetId="8">#REF!</definedName>
    <definedName name="CPIv2005n2008">'[1]CPI en WACC'!$H$38</definedName>
    <definedName name="CPIv2005n2009" localSheetId="8">#REF!</definedName>
    <definedName name="CPIv2005n2009">'[1]CPI en WACC'!$H$39</definedName>
    <definedName name="CPIv2005n2010" localSheetId="8">#REF!</definedName>
    <definedName name="CPIv2005n2010">'[1]CPI en WACC'!$H$40</definedName>
    <definedName name="CPIv2005n2011" localSheetId="8">#REF!</definedName>
    <definedName name="CPIv2005n2011">'[1]CPI en WACC'!$H$41</definedName>
    <definedName name="CPIv2005n2012" localSheetId="8">#REF!</definedName>
    <definedName name="CPIv2005n2012">'[1]CPI en WACC'!$H$42</definedName>
    <definedName name="CPIv2005n2013" localSheetId="8">#REF!</definedName>
    <definedName name="CPIv2005n2013">'[1]CPI en WACC'!$H$43</definedName>
    <definedName name="CPIv2006n2007" localSheetId="8">#REF!</definedName>
    <definedName name="CPIv2006n2007">'[1]CPI en WACC'!$I$37</definedName>
    <definedName name="CPIv2006n2008" localSheetId="8">#REF!</definedName>
    <definedName name="CPIv2006n2008">'[1]CPI en WACC'!$I$38</definedName>
    <definedName name="CPIv2006n2009" localSheetId="8">#REF!</definedName>
    <definedName name="CPIv2006n2009">'[1]CPI en WACC'!$I$39</definedName>
    <definedName name="CPIv2006n2010" localSheetId="8">#REF!</definedName>
    <definedName name="CPIv2006n2010">'[1]CPI en WACC'!$I$40</definedName>
    <definedName name="CPIv2006n2011" localSheetId="8">#REF!</definedName>
    <definedName name="CPIv2006n2011">'[1]CPI en WACC'!$I$41</definedName>
    <definedName name="CPIv2006n2012" localSheetId="8">#REF!</definedName>
    <definedName name="CPIv2006n2012">'[1]CPI en WACC'!$I$42</definedName>
    <definedName name="CPIv2006n2013" localSheetId="8">#REF!</definedName>
    <definedName name="CPIv2006n2013">'[1]CPI en WACC'!$I$43</definedName>
    <definedName name="CPIv2007n2008" localSheetId="8">#REF!</definedName>
    <definedName name="CPIv2007n2008">'[1]CPI en WACC'!$J$38</definedName>
    <definedName name="CPIv2007n2009" localSheetId="8">#REF!</definedName>
    <definedName name="CPIv2007n2009">'[1]CPI en WACC'!$J$39</definedName>
    <definedName name="CPIv2007n2010" localSheetId="8">#REF!</definedName>
    <definedName name="CPIv2007n2010">'[1]CPI en WACC'!$J$40</definedName>
    <definedName name="CPIv2007n2011" localSheetId="8">#REF!</definedName>
    <definedName name="CPIv2007n2011">'[1]CPI en WACC'!$J$41</definedName>
    <definedName name="CPIv2007n2012" localSheetId="8">#REF!</definedName>
    <definedName name="CPIv2007n2012">'[1]CPI en WACC'!$J$42</definedName>
    <definedName name="CPIv2007n2013" localSheetId="8">#REF!</definedName>
    <definedName name="CPIv2007n2013">'[1]CPI en WACC'!$J$43</definedName>
    <definedName name="CPIv2008n2009" localSheetId="8">#REF!</definedName>
    <definedName name="CPIv2008n2009">'[1]CPI en WACC'!$K$39</definedName>
    <definedName name="CPIv2008n2010" localSheetId="8">#REF!</definedName>
    <definedName name="CPIv2008n2010">'[1]CPI en WACC'!$K$40</definedName>
    <definedName name="CPIv2008n2011" localSheetId="8">#REF!</definedName>
    <definedName name="CPIv2008n2011">'[1]CPI en WACC'!$K$41</definedName>
    <definedName name="CPIv2008n2012" localSheetId="8">#REF!</definedName>
    <definedName name="CPIv2008n2012">'[1]CPI en WACC'!$K$42</definedName>
    <definedName name="CPIv2008n2013" localSheetId="8">#REF!</definedName>
    <definedName name="CPIv2008n2013">'[1]CPI en WACC'!$K$43</definedName>
    <definedName name="CPIv2009n2010" localSheetId="8">#REF!</definedName>
    <definedName name="CPIv2009n2010">'[1]CPI en WACC'!$L$40</definedName>
    <definedName name="CPIv2009n2011" localSheetId="8">#REF!</definedName>
    <definedName name="CPIv2009n2011">'[1]CPI en WACC'!$L$41</definedName>
    <definedName name="CPIv2009n2012" localSheetId="8">#REF!</definedName>
    <definedName name="CPIv2009n2012">'[1]CPI en WACC'!$L$42</definedName>
    <definedName name="CPIv2009n2013" localSheetId="8">#REF!</definedName>
    <definedName name="CPIv2009n2013">'[1]CPI en WACC'!$L$43</definedName>
    <definedName name="CPIv2010n2011" localSheetId="8">#REF!</definedName>
    <definedName name="CPIv2010n2011">'[1]CPI en WACC'!$M$41</definedName>
    <definedName name="CPIv2010n2012" localSheetId="8">#REF!</definedName>
    <definedName name="CPIv2010n2012">'[1]CPI en WACC'!$M$42</definedName>
    <definedName name="CPIv2010n2013" localSheetId="8">#REF!</definedName>
    <definedName name="CPIv2010n2013">'[1]CPI en WACC'!$M$43</definedName>
    <definedName name="CPIv2011n2012" localSheetId="8">#REF!</definedName>
    <definedName name="CPIv2011n2012">'[1]CPI en WACC'!$N$42</definedName>
    <definedName name="CPIv2011n2013" localSheetId="8">#REF!</definedName>
    <definedName name="CPIv2011n2013">'[1]CPI en WACC'!$N$43</definedName>
    <definedName name="CPIv2012n2013" localSheetId="8">#REF!</definedName>
    <definedName name="CPIv2012n2013">'[1]CPI en WACC'!$O$43</definedName>
    <definedName name="cr" localSheetId="2">#REF!</definedName>
    <definedName name="cr" localSheetId="6">#REF!</definedName>
    <definedName name="cr" localSheetId="5">#REF!</definedName>
    <definedName name="cr" localSheetId="1">#REF!</definedName>
    <definedName name="cr">#REF!</definedName>
    <definedName name="criterium" localSheetId="2">#REF!</definedName>
    <definedName name="criterium" localSheetId="6">#REF!</definedName>
    <definedName name="criterium" localSheetId="5">#REF!</definedName>
    <definedName name="criterium" localSheetId="1">#REF!</definedName>
    <definedName name="criterium">#REF!</definedName>
    <definedName name="EAV" localSheetId="2">'CAPEX2009'!#REF!</definedName>
    <definedName name="EAV" localSheetId="6">'EAV 2011'!#REF!</definedName>
    <definedName name="EAV" localSheetId="5">'PAV 2011'!#REF!</definedName>
    <definedName name="EAV" localSheetId="1">'Verschuiving'!#REF!</definedName>
    <definedName name="EAV">'GAW2008'!#REF!</definedName>
    <definedName name="EAV_ehd" localSheetId="2">'CAPEX2009'!#REF!</definedName>
    <definedName name="EAV_ehd" localSheetId="6">'EAV 2011'!#REF!</definedName>
    <definedName name="EAV_ehd" localSheetId="5">'PAV 2011'!#REF!</definedName>
    <definedName name="EAV_ehd" localSheetId="1">'Verschuiving'!#REF!</definedName>
    <definedName name="EAV_ehd">'GAW2008'!#REF!</definedName>
    <definedName name="EAV_plus" localSheetId="2">'CAPEX2009'!#REF!</definedName>
    <definedName name="EAV_plus" localSheetId="6">'EAV 2011'!#REF!</definedName>
    <definedName name="EAV_plus" localSheetId="5">'PAV 2011'!#REF!</definedName>
    <definedName name="EAV_plus" localSheetId="1">'Verschuiving'!#REF!</definedName>
    <definedName name="EAV_plus">'GAW2008'!#REF!</definedName>
    <definedName name="EofG" localSheetId="8">'[3]Lokale heffingen (LH)'!#REF!</definedName>
    <definedName name="EofG">'[1]Kapitaalkosten'!$C$2</definedName>
    <definedName name="extraveld_kolom">#REF!</definedName>
    <definedName name="extraveld_rij">#REF!</definedName>
    <definedName name="FM" localSheetId="2">'CAPEX2009'!#REF!</definedName>
    <definedName name="FM" localSheetId="6">'EAV 2011'!#REF!</definedName>
    <definedName name="FM" localSheetId="5">'PAV 2011'!#REF!</definedName>
    <definedName name="FM" localSheetId="1">'Verschuiving'!#REF!</definedName>
    <definedName name="FM">'GAW2008'!#REF!</definedName>
    <definedName name="ind" localSheetId="2">'CAPEX2009'!#REF!</definedName>
    <definedName name="ind" localSheetId="6">'EAV 2011'!#REF!</definedName>
    <definedName name="ind" localSheetId="5">'PAV 2011'!#REF!</definedName>
    <definedName name="ind" localSheetId="1">'Verschuiving'!#REF!</definedName>
    <definedName name="ind">'GAW2008'!#REF!</definedName>
    <definedName name="jaar" localSheetId="2">#REF!</definedName>
    <definedName name="jaar" localSheetId="6">#REF!</definedName>
    <definedName name="jaar" localSheetId="5">#REF!</definedName>
    <definedName name="jaar" localSheetId="1">#REF!</definedName>
    <definedName name="jaar">#REF!</definedName>
    <definedName name="meerkeuze" localSheetId="2">#REF!</definedName>
    <definedName name="meerkeuze" localSheetId="6">#REF!</definedName>
    <definedName name="meerkeuze" localSheetId="5">#REF!</definedName>
    <definedName name="meerkeuze" localSheetId="1">#REF!</definedName>
    <definedName name="meerkeuze">#REF!</definedName>
    <definedName name="Naam" localSheetId="8">#REF!</definedName>
    <definedName name="Naam">'[1]Kapitaalkosten'!$C$1</definedName>
    <definedName name="Naam_GA">'[1]Kapitaalkosten Gasaansluiting'!$C$1</definedName>
    <definedName name="Netbeheerders">'[1]Netbeheerders'!$B$2:$B$25</definedName>
    <definedName name="Overzicht_EofG">#REF!</definedName>
    <definedName name="Overzicht_Gasaansluiting">#REF!</definedName>
    <definedName name="Overzicht_Netbeheerder">#REF!</definedName>
    <definedName name="Overzicht_totJaar">#REF!</definedName>
    <definedName name="Overzicht_vanafJaar">#REF!</definedName>
    <definedName name="SWV" localSheetId="2">'CAPEX2009'!#REF!</definedName>
    <definedName name="SWV" localSheetId="6">'EAV 2011'!#REF!</definedName>
    <definedName name="SWV" localSheetId="5">'PAV 2011'!#REF!</definedName>
    <definedName name="SWV" localSheetId="1">'Verschuiving'!#REF!</definedName>
    <definedName name="SWV">'GAW2008'!#REF!</definedName>
    <definedName name="SWV_ehd" localSheetId="2">'CAPEX2009'!#REF!</definedName>
    <definedName name="SWV_ehd" localSheetId="6">'EAV 2011'!#REF!</definedName>
    <definedName name="SWV_ehd" localSheetId="5">'PAV 2011'!#REF!</definedName>
    <definedName name="SWV_ehd" localSheetId="1">'Verschuiving'!#REF!</definedName>
    <definedName name="SWV_ehd">'GAW2008'!#REF!</definedName>
    <definedName name="SWV_plus" localSheetId="2">'CAPEX2009'!#REF!</definedName>
    <definedName name="SWV_plus" localSheetId="6">'EAV 2011'!#REF!</definedName>
    <definedName name="SWV_plus" localSheetId="5">'PAV 2011'!#REF!</definedName>
    <definedName name="SWV_plus" localSheetId="1">'Verschuiving'!#REF!</definedName>
    <definedName name="SWV_plus">'GAW2008'!#REF!</definedName>
    <definedName name="VerbruikstarRC">'2a Tarievenblad'!#REF!</definedName>
    <definedName name="wacc" localSheetId="2">'[4]Data'!#REF!</definedName>
    <definedName name="wacc" localSheetId="6">'[4]Data'!#REF!</definedName>
    <definedName name="wacc" localSheetId="5">'[4]Data'!#REF!</definedName>
    <definedName name="wacc" localSheetId="1">'[4]Data'!#REF!</definedName>
    <definedName name="wacc">'[4]Data'!#REF!</definedName>
    <definedName name="wacc_exc_tax" localSheetId="7">#REF!</definedName>
    <definedName name="wacc_exc_tax" localSheetId="8">'[5]constants'!$E$3</definedName>
    <definedName name="wacc_exc_tax">'[4]constants'!$E$3</definedName>
    <definedName name="wacc_inc_tax">'[4]constants'!$E$4</definedName>
    <definedName name="WACC2011_2013">'[6]CPI&amp;WACC'!$D$14</definedName>
    <definedName name="WACCtabel" localSheetId="8">'[7]CPI en WACC'!$B$6:$D$26</definedName>
    <definedName name="WACCtabel">'[1]CPI en WACC'!$B$6:$D$26</definedName>
  </definedNames>
  <calcPr fullCalcOnLoad="1"/>
</workbook>
</file>

<file path=xl/sharedStrings.xml><?xml version="1.0" encoding="utf-8"?>
<sst xmlns="http://schemas.openxmlformats.org/spreadsheetml/2006/main" count="805" uniqueCount="232">
  <si>
    <t>Gestandaardiseerde historische afschrijvingstermijn</t>
  </si>
  <si>
    <t>Gestandaardiseerde afschrijvingstermijn per 2009</t>
  </si>
  <si>
    <t>percentage aansluitpunt</t>
  </si>
  <si>
    <t>DNWB</t>
  </si>
  <si>
    <t>Totaal</t>
  </si>
  <si>
    <t>GAW2008 ('000 Euro)</t>
  </si>
  <si>
    <t>GAW2008 ≤40m3/h</t>
  </si>
  <si>
    <t>GAW2008 &gt;40m3/h (hele aansluiting)</t>
  </si>
  <si>
    <t>GAW2008 &gt;40m3/h (aansluitpunt)</t>
  </si>
  <si>
    <t>GAW2008</t>
  </si>
  <si>
    <t>Afschrijvingsschema per 2009</t>
  </si>
  <si>
    <t>T</t>
  </si>
  <si>
    <t>Afschrijvingstermijn GAW2008 per 2009</t>
  </si>
  <si>
    <t>Eindjaar afschrijving GAW2008</t>
  </si>
  <si>
    <t>Specificatie GAW2008</t>
  </si>
  <si>
    <t>≤40m3/h voor 2000</t>
  </si>
  <si>
    <t>≤40m3/h vanaf 2000</t>
  </si>
  <si>
    <t>&gt;40m3/h (aansluitpunt) voor 2000</t>
  </si>
  <si>
    <t>&gt;40m3/h (aansluitpunt) vanaf 2000</t>
  </si>
  <si>
    <t>Totaal GAW2008</t>
  </si>
  <si>
    <t>Specificatie jaarlijkse afschrijvingen GAW2008</t>
  </si>
  <si>
    <t>Totaal jaarlijkse afschrijvingen GAW2008</t>
  </si>
  <si>
    <t>GASAANSLUITING</t>
  </si>
  <si>
    <t>Netbeheerder</t>
  </si>
  <si>
    <t>DELTA</t>
  </si>
  <si>
    <t>Boekjaar</t>
  </si>
  <si>
    <t>Investeringsjaar</t>
  </si>
  <si>
    <t>Omschrijving</t>
  </si>
  <si>
    <t>Jr</t>
  </si>
  <si>
    <t>Startwaarde GAW</t>
  </si>
  <si>
    <t>Afschrijvingen Startwaarde GAW</t>
  </si>
  <si>
    <t>Desinvesteringen GAW</t>
  </si>
  <si>
    <t>cumulatieve afschrijving van desinvestering</t>
  </si>
  <si>
    <t>T gemiddelde investeringsjaar met afschrijvingstermijn</t>
  </si>
  <si>
    <t>08StartT</t>
  </si>
  <si>
    <t>Aantal jaar afschrijven</t>
  </si>
  <si>
    <t>&lt;40m3</t>
  </si>
  <si>
    <t>Aanschafwaarde Investeringen met afschrijvingstermijn:</t>
  </si>
  <si>
    <t>Desinvesteringen met afschrijvingstermijn:</t>
  </si>
  <si>
    <t>cumulatieve afschrijving bij afschrijvingstermijn</t>
  </si>
  <si>
    <t>bijzondere waardevermindering bij afschrijvingstermijn</t>
  </si>
  <si>
    <t>tot</t>
  </si>
  <si>
    <t>&gt;40m3</t>
  </si>
  <si>
    <t>Percentage Aansluitpunt</t>
  </si>
  <si>
    <t>Aanschafwaarde Investeringen</t>
  </si>
  <si>
    <t>Desinvesteringen</t>
  </si>
  <si>
    <t>cumulatieve afschrijving</t>
  </si>
  <si>
    <t>Specificatie GAW ultimo 2009</t>
  </si>
  <si>
    <t>≤40m3/h 2000-2008</t>
  </si>
  <si>
    <t>≤40m3/h 2009</t>
  </si>
  <si>
    <t>&gt;40m3/h (aansluitpunt) 2000-2008</t>
  </si>
  <si>
    <t>&gt;40m3/h (aansluitpunt) 2009</t>
  </si>
  <si>
    <t>Totaal GAW ultimo 2009</t>
  </si>
  <si>
    <t>Totaal afschrijvingen 2009</t>
  </si>
  <si>
    <t>Specificatie afschrijvingen 2009</t>
  </si>
  <si>
    <t>Totaal vermogenskosten 2009</t>
  </si>
  <si>
    <t>Specificatie vermogenskosten 2009</t>
  </si>
  <si>
    <t>Uit 103222 20100706 Rekenmodule start-GAW gasaansluiting_tcm7-139780.xls</t>
  </si>
  <si>
    <t>Uit 103224 Berekening kapitaalkosten_tcm7-139778.xls</t>
  </si>
  <si>
    <t>Verschuivingen vermogenskosten van PAV naar EAV (%)</t>
  </si>
  <si>
    <t>(000 Euro)</t>
  </si>
  <si>
    <t>Verschuivingen vermogenskosten van PAV naar EAV (000 Euro)</t>
  </si>
  <si>
    <t>≤40m3/h</t>
  </si>
  <si>
    <t>&gt;40m3/h (aansluitpunt)</t>
  </si>
  <si>
    <t>Totaal verschuiiving</t>
  </si>
  <si>
    <r>
      <t xml:space="preserve">PAV t/m 40 m3/h (betreft de </t>
    </r>
    <r>
      <rPr>
        <b/>
        <u val="single"/>
        <sz val="10"/>
        <color indexed="9"/>
        <rFont val="Arial"/>
        <family val="2"/>
      </rPr>
      <t>gehele aansluiting</t>
    </r>
    <r>
      <rPr>
        <b/>
        <sz val="10"/>
        <color indexed="9"/>
        <rFont val="Arial"/>
        <family val="2"/>
      </rPr>
      <t xml:space="preserve">) </t>
    </r>
  </si>
  <si>
    <t>LD 0-10 m3/h</t>
  </si>
  <si>
    <t>LD 10-16 m3/h</t>
  </si>
  <si>
    <t>LD 16-25 m3/h</t>
  </si>
  <si>
    <t xml:space="preserve">LD 25-40 m3/h </t>
  </si>
  <si>
    <t>HD 0-10 m3/h</t>
  </si>
  <si>
    <t>HD 10-16 m3/h</t>
  </si>
  <si>
    <t>HD 16-25 m3/h</t>
  </si>
  <si>
    <t>HD 25-40 m3/h</t>
  </si>
  <si>
    <t>EHD 0-40 m3/h</t>
  </si>
  <si>
    <r>
      <t xml:space="preserve">PAV vanaf 40 m3/h (betreft alleen het </t>
    </r>
    <r>
      <rPr>
        <b/>
        <u val="single"/>
        <sz val="10"/>
        <color indexed="9"/>
        <rFont val="Arial"/>
        <family val="2"/>
      </rPr>
      <t>aansluitpunt</t>
    </r>
    <r>
      <rPr>
        <b/>
        <sz val="10"/>
        <color indexed="9"/>
        <rFont val="Arial"/>
        <family val="2"/>
      </rPr>
      <t>)</t>
    </r>
  </si>
  <si>
    <t xml:space="preserve">LD 40-65 m3/h </t>
  </si>
  <si>
    <t xml:space="preserve">LD 65-100 m3/h </t>
  </si>
  <si>
    <t>LD 100-160 m3/h</t>
  </si>
  <si>
    <t xml:space="preserve">LD 160-250 m3/h </t>
  </si>
  <si>
    <t xml:space="preserve">LD 250-400 m3/h </t>
  </si>
  <si>
    <t xml:space="preserve">LD 400-650 m3/h </t>
  </si>
  <si>
    <t xml:space="preserve">LD 650-1000 m3/h </t>
  </si>
  <si>
    <t xml:space="preserve">LD 1000-1600 m3/h </t>
  </si>
  <si>
    <t xml:space="preserve">LD 1600-2500 m3/h </t>
  </si>
  <si>
    <t>LD &gt;2500 m3/h</t>
  </si>
  <si>
    <t>HD 40-65 m3/h</t>
  </si>
  <si>
    <t>HD 65-100 m3/h</t>
  </si>
  <si>
    <t>HD 100-160 m3/h</t>
  </si>
  <si>
    <t>HD 160-250 m3/h</t>
  </si>
  <si>
    <t xml:space="preserve">HD 250-400 m3/h </t>
  </si>
  <si>
    <t xml:space="preserve">HD 400-650 m3/h </t>
  </si>
  <si>
    <t xml:space="preserve">HD 650-1000 m3/h </t>
  </si>
  <si>
    <t xml:space="preserve">HD 1000-1600 m3/h </t>
  </si>
  <si>
    <t xml:space="preserve">HD 1600-2500 m3/h </t>
  </si>
  <si>
    <t>HD &gt;2500 m3/h</t>
  </si>
  <si>
    <t>EHD &gt;40 m3/h</t>
  </si>
  <si>
    <t>Tarief</t>
  </si>
  <si>
    <r>
      <t xml:space="preserve">EAV t/m 40 m3/h (betreft de </t>
    </r>
    <r>
      <rPr>
        <b/>
        <u val="single"/>
        <sz val="10"/>
        <color indexed="9"/>
        <rFont val="Arial"/>
        <family val="2"/>
      </rPr>
      <t>gehele aansluiting</t>
    </r>
    <r>
      <rPr>
        <b/>
        <sz val="10"/>
        <color indexed="9"/>
        <rFont val="Arial"/>
        <family val="2"/>
      </rPr>
      <t xml:space="preserve">) </t>
    </r>
  </si>
  <si>
    <r>
      <t xml:space="preserve">EAV vanaf 40 m3/h (betreft alleen het </t>
    </r>
    <r>
      <rPr>
        <b/>
        <u val="single"/>
        <sz val="10"/>
        <color indexed="9"/>
        <rFont val="Arial"/>
        <family val="2"/>
      </rPr>
      <t>aansluitpunt</t>
    </r>
    <r>
      <rPr>
        <b/>
        <sz val="10"/>
        <color indexed="9"/>
        <rFont val="Arial"/>
        <family val="2"/>
      </rPr>
      <t>)</t>
    </r>
  </si>
  <si>
    <t>Meerlengtevergoeding ( &gt;25 meter)</t>
  </si>
  <si>
    <t>Omzet</t>
  </si>
  <si>
    <t>Rekenvol</t>
  </si>
  <si>
    <t>Omzet aansluitdienst op basis van tarieven 2011</t>
  </si>
  <si>
    <t>PAV ≤40m3/h</t>
  </si>
  <si>
    <t>PAV &gt;40m3/h (aansluitpunt)</t>
  </si>
  <si>
    <t>EAV ≤40m3/h</t>
  </si>
  <si>
    <t>EAV &gt;40m3/h (aansluitpunt)</t>
  </si>
  <si>
    <t>Omzet aansluitdienst na verschuiving vermogenskosten</t>
  </si>
  <si>
    <t>Mutatie tarieven als gevolg van verschuiving (%)</t>
  </si>
  <si>
    <t>Voorbeeldtarieven 2011:</t>
  </si>
  <si>
    <t>PAV LD 0-10 m3/h huidig</t>
  </si>
  <si>
    <t>PAV LD 0-10 m3/h na verschuiving</t>
  </si>
  <si>
    <t>EAV LD 0-10 m3/h huidig</t>
  </si>
  <si>
    <t>EAV LD 0-10 m3/h na verschuiving</t>
  </si>
  <si>
    <t>PAV LD 65-100 m3/h huidig</t>
  </si>
  <si>
    <t>PAV LD 65-100 m3/h na verschuiving</t>
  </si>
  <si>
    <t>EAV LD 65-100 m3/h huidig</t>
  </si>
  <si>
    <t>EAV LD 65-100 m3/h na verschuiving</t>
  </si>
  <si>
    <t>Uit bijlagen 3 bij tariefbesluiten 2011</t>
  </si>
  <si>
    <t>cpi</t>
  </si>
  <si>
    <t>x-factor</t>
  </si>
  <si>
    <t>Rekenvolumes (#)</t>
  </si>
  <si>
    <t>Eenheid</t>
  </si>
  <si>
    <t>EUR/jaar</t>
  </si>
  <si>
    <t xml:space="preserve">EAV t/m 40 m3/h (betreft de gehele aansluiting) </t>
  </si>
  <si>
    <t xml:space="preserve">PAV t/m 40 m3/h (betreft de gehele aansluiting) </t>
  </si>
  <si>
    <t>EAV vanaf 40 m3/h (betreft alleen het aansluitpunt)</t>
  </si>
  <si>
    <t>PAV vanaf 40 m3/h (betreft alleen het aansluitpunt)</t>
  </si>
  <si>
    <t>factor</t>
  </si>
  <si>
    <t>factor (incl. correctie vanwege afrondingsverschillen)</t>
  </si>
  <si>
    <t>Tarief 2012 na versch. Vermogenk</t>
  </si>
  <si>
    <t>Verschuiving vermogenskosten</t>
  </si>
  <si>
    <t>EAV</t>
  </si>
  <si>
    <t>PAV</t>
  </si>
  <si>
    <t>Omzet 2012 &lt;40m3(n)/uur</t>
  </si>
  <si>
    <t>Omzet 2012 =&gt;40m3(n)/uur</t>
  </si>
  <si>
    <t>verschuiving verm. Kst van PAV naar EAV</t>
  </si>
  <si>
    <t>&lt;40m3(n)/uur</t>
  </si>
  <si>
    <t>=&gt;40m3(n)/uur</t>
  </si>
  <si>
    <t xml:space="preserve">factor </t>
  </si>
  <si>
    <t>Richtbedrag AD</t>
  </si>
  <si>
    <t xml:space="preserve">in mandje </t>
  </si>
  <si>
    <t>in %</t>
  </si>
  <si>
    <t>verschil in €</t>
  </si>
  <si>
    <t>EI AD t.b.v. tarievenmandje</t>
  </si>
  <si>
    <t>Uitgangspunten</t>
  </si>
  <si>
    <t>Basis voor berekening verschuiving vermogenkosten vormt de CAPEX 2009.</t>
  </si>
  <si>
    <t>DNWB schat in dat ongeveer 50 % van de GAW (van voor 2000) nieuwe aansluitingen betreft. Deze 50 % zou dus “verschoven” moeten worden van PAV naar EAV.</t>
  </si>
  <si>
    <t xml:space="preserve">De vereiste tariefcorrectie vanwege de verschuiving vermogenskosten wordt bepaald door de verhouding van de verschuiving van de vermogenskosten </t>
  </si>
  <si>
    <t>Na de verwerking van beide correcties wordt enkel nog afgerond op 2 decimalen. (PAV tarieven deelbaar door 12)</t>
  </si>
  <si>
    <t>Inkomsten AD tarievenmandje 2012</t>
  </si>
  <si>
    <t>Tarief 2012</t>
  </si>
  <si>
    <t xml:space="preserve">Bijlage 2a bij Tarievenbesluit </t>
  </si>
  <si>
    <t>103763_3 DELN</t>
  </si>
  <si>
    <t>DELTA Netwerkbedrijf B.V.</t>
  </si>
  <si>
    <t>Tarievenblad</t>
  </si>
  <si>
    <t>Transportdienst</t>
  </si>
  <si>
    <t>Kleinverbruikers</t>
  </si>
  <si>
    <t>Legenda</t>
  </si>
  <si>
    <t>Vastrecht per jaar</t>
  </si>
  <si>
    <t>LD:    &lt; 200 mbar</t>
  </si>
  <si>
    <t>Capaciteits-afhankelijk tarief per eenheid rekencapaciteit per jaar</t>
  </si>
  <si>
    <r>
      <t>EUR/jaar/m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/uur</t>
    </r>
  </si>
  <si>
    <t>HD:    ≥ 200 mbar en &lt; 16 bar</t>
  </si>
  <si>
    <t>EHD:  ≥ 16 bar</t>
  </si>
  <si>
    <t>Profielgrootverbruikersverbruikers</t>
  </si>
  <si>
    <t>Telemetriegrootverbruikers (&lt; 16 bar)</t>
  </si>
  <si>
    <t>Capaciteits-afhankelijk tarief per eenheid gecontracteerde capaciteit per jaar: Lage druk</t>
  </si>
  <si>
    <t>Capaciteits-afhankelijk tarief per eenheid gecontracteerde capaciteit per jaar: Hoge druk</t>
  </si>
  <si>
    <t>Capaciteits-afhankelijk tarief per eenheid gecontracteerde capaciteit per jaar: Standaard</t>
  </si>
  <si>
    <r>
      <t>Extra hoge druk (</t>
    </r>
    <r>
      <rPr>
        <b/>
        <sz val="10"/>
        <color indexed="9"/>
        <rFont val="Arial"/>
        <family val="2"/>
      </rPr>
      <t>≥</t>
    </r>
    <r>
      <rPr>
        <b/>
        <sz val="10"/>
        <color indexed="9"/>
        <rFont val="Arial"/>
        <family val="2"/>
      </rPr>
      <t xml:space="preserve"> 16 bar)</t>
    </r>
  </si>
  <si>
    <t>Capaciteits-afhankelijk tarief per eenheid gecontracteerde capaciteit per jaar</t>
  </si>
  <si>
    <t>Aansluitdienst</t>
  </si>
  <si>
    <t>EUR</t>
  </si>
  <si>
    <t>EUR/m</t>
  </si>
  <si>
    <t>Tarief 2013 voor versch. Vermogenk</t>
  </si>
  <si>
    <t>Tarief 2013 na versch. Vermogenk</t>
  </si>
  <si>
    <t>In het tarievenvoorstel 2012 is reeds rekening gehouden met een verschuiving van vermogenskosten (50 % van de GAW van voor 2000) van 50 % (overgangsregeling).</t>
  </si>
  <si>
    <t>In het tarievenvoorstel 2013 worden de resterende vermogenskosten vermogenskosten verschoven (50 % van de GAW van voor 2000) van 50 % (overgangsregeling).</t>
  </si>
  <si>
    <t>Effectief is dus 50% van 50% = 25% verschoven van mandje 2012 t.o.v. 2011.</t>
  </si>
  <si>
    <t>Effectief wordt dus 50% van 50% = 25% verschoven van tarievenmandje 2013 t.o.v. 2012</t>
  </si>
  <si>
    <t>ten opzichte van de omzet 2012 te berekenen. Deze correctie wordt toegepast op het tarief 2012. (1e correctie). (Zie cellen E11:F12)</t>
  </si>
  <si>
    <t>Vervolgens wordt de cpi -/- x over de tarieven 2012 berekend. De uitkomst van de berekening is de 2e correctie welke moet worden toegepast (cel B12)</t>
  </si>
  <si>
    <t>Tarieven t.b.v. voorstel 2013 zijn weergegeven in kolom E en kolom P.</t>
  </si>
  <si>
    <t>Correctie vanwege verschillen t.o.v. richtbedrag</t>
  </si>
  <si>
    <t>TI-berekening 2013</t>
  </si>
  <si>
    <t>COGAS</t>
  </si>
  <si>
    <t>ENDINET</t>
  </si>
  <si>
    <t>ENEXIS</t>
  </si>
  <si>
    <t>INTERGAS</t>
  </si>
  <si>
    <t>LIANDER</t>
  </si>
  <si>
    <t>RENDO</t>
  </si>
  <si>
    <t>STEDIN</t>
  </si>
  <si>
    <t>WESTLAND</t>
  </si>
  <si>
    <t>ZEBRA</t>
  </si>
  <si>
    <t>Totale Inkomsten</t>
  </si>
  <si>
    <t>Begininkomsten 2010</t>
  </si>
  <si>
    <t>€, pp 2010</t>
  </si>
  <si>
    <t>Bron: wijzigingsbesluiten x-factoren NG3R - 31 maart 2011 (103636)</t>
  </si>
  <si>
    <t>X-factor 2011-2013</t>
  </si>
  <si>
    <t>Q-factor 2011-2013</t>
  </si>
  <si>
    <t>cpi 2011</t>
  </si>
  <si>
    <t>TI 2011 (zonder correcties)</t>
  </si>
  <si>
    <t>€, pp 2011</t>
  </si>
  <si>
    <t>cpi 2012</t>
  </si>
  <si>
    <t>TI 2012 (zonder correcties)</t>
  </si>
  <si>
    <t>€, pp 2012</t>
  </si>
  <si>
    <t>cpi 2013</t>
  </si>
  <si>
    <t>TI 2013 (zonder correcties)</t>
  </si>
  <si>
    <t>€, pp 2013</t>
  </si>
  <si>
    <t>Correctiebedragen</t>
  </si>
  <si>
    <t>Correcties in TI 2013</t>
  </si>
  <si>
    <t>Nacalculatie ORV Lokale Heffingen 2011</t>
  </si>
  <si>
    <t>Nacalculatie Dubieuze Debiteuren</t>
  </si>
  <si>
    <t>Totaalbedrag Correcties in TI 2013</t>
  </si>
  <si>
    <t>Totale Inkomsten 2013 inclusief correcties</t>
  </si>
  <si>
    <t>Totale Inkomsten 2013 (incl. correcties)</t>
  </si>
  <si>
    <t>Verdeling over Aansluit- en Transportdienst</t>
  </si>
  <si>
    <t>Rekenfactor</t>
  </si>
  <si>
    <t>AD</t>
  </si>
  <si>
    <t>Berekend in rekenmodel (x-factor 31 maart 2011) door alle kosten TD op nul te stellen</t>
  </si>
  <si>
    <t>TD</t>
  </si>
  <si>
    <t>Berekend in rekenmodel (x-factor 31 maart 2011) door alle kosten AD op nul te stellen</t>
  </si>
  <si>
    <t>Verdeling TI2013 obv rekenfactor</t>
  </si>
  <si>
    <t>Inkomstenbedrag berekend met behulp van rekenmodel en rekenfactor AD</t>
  </si>
  <si>
    <t>Inkomstenbedrag berekend met behulp van rekenmodel en rekenfactor TD</t>
  </si>
  <si>
    <t>Verhouding</t>
  </si>
  <si>
    <t>De verhouding die hier wordt berekend is nodig om de werkelijke TI2013 volledig te verdelen.</t>
  </si>
  <si>
    <t>Verdeling TI 2013</t>
  </si>
  <si>
    <t>Aangezien de nacalculatie LH2011 betrekking heeft op de transportdienst, wordt dit nacalculatiebedrag volledig aan de transportdienst toebedeeld.</t>
  </si>
  <si>
    <t>Verdeling TI 2013 (richtbedragen)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</si>
</sst>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* #,##0_-;_-* #,##0\-;_-* &quot;-&quot;??_-;_-@_-"/>
    <numFmt numFmtId="167" formatCode="0.0%"/>
    <numFmt numFmtId="168" formatCode="_-* #,##0.00000_-;_-* #,##0.00000\-;_-* &quot;-&quot;??_-;_-@_-"/>
    <numFmt numFmtId="169" formatCode="0.0000"/>
    <numFmt numFmtId="170" formatCode="_-* #,##0.0000_-;_-* #,##0.0000\-;_-* &quot;-&quot;??_-;_-@_-"/>
    <numFmt numFmtId="171" formatCode="#,##0.0000"/>
    <numFmt numFmtId="172" formatCode="_-* #,##0.0_-;_-* #,##0.0\-;_-* &quot;-&quot;??_-;_-@_-"/>
    <numFmt numFmtId="173" formatCode="0.0"/>
    <numFmt numFmtId="174" formatCode="#,##0.00_ ;\-#,##0.00\ "/>
    <numFmt numFmtId="175" formatCode="0.00000%"/>
  </numFmts>
  <fonts count="49"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u val="single"/>
      <sz val="11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4"/>
      <color indexed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hair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hair"/>
      <top style="medium"/>
      <bottom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hair"/>
      <right/>
      <top style="hair"/>
      <bottom style="medium"/>
    </border>
    <border>
      <left/>
      <right style="hair"/>
      <top/>
      <bottom style="hair"/>
    </border>
    <border>
      <left style="hair"/>
      <right style="medium"/>
      <top/>
      <bottom style="medium"/>
    </border>
    <border>
      <left/>
      <right/>
      <top style="hair"/>
      <bottom/>
    </border>
    <border>
      <left/>
      <right style="medium"/>
      <top/>
      <bottom style="hair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166" fontId="5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4" borderId="0" applyNumberFormat="0" applyBorder="0" applyAlignment="0" applyProtection="0"/>
    <xf numFmtId="0" fontId="42" fillId="7" borderId="1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37" fontId="5" fillId="0" borderId="0" applyFill="0" applyBorder="0" applyProtection="0">
      <alignment/>
    </xf>
    <xf numFmtId="0" fontId="0" fillId="23" borderId="7" applyNumberFormat="0" applyFont="0" applyAlignment="0" applyProtection="0"/>
    <xf numFmtId="0" fontId="40" fillId="3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43" fillId="20" borderId="9" applyNumberFormat="0" applyAlignment="0" applyProtection="0"/>
    <xf numFmtId="16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" fillId="24" borderId="0" xfId="63" applyFont="1" applyFill="1">
      <alignment/>
      <protection/>
    </xf>
    <xf numFmtId="1" fontId="2" fillId="24" borderId="0" xfId="63" applyNumberFormat="1" applyFont="1" applyFill="1">
      <alignment/>
      <protection/>
    </xf>
    <xf numFmtId="0" fontId="3" fillId="24" borderId="10" xfId="63" applyFont="1" applyFill="1" applyBorder="1" applyAlignment="1">
      <alignment horizontal="right"/>
      <protection/>
    </xf>
    <xf numFmtId="1" fontId="3" fillId="7" borderId="10" xfId="63" applyNumberFormat="1" applyFont="1" applyFill="1" applyBorder="1" applyAlignment="1">
      <alignment horizontal="center"/>
      <protection/>
    </xf>
    <xf numFmtId="10" fontId="3" fillId="4" borderId="10" xfId="63" applyNumberFormat="1" applyFont="1" applyFill="1" applyBorder="1" applyAlignment="1">
      <alignment horizontal="center"/>
      <protection/>
    </xf>
    <xf numFmtId="0" fontId="2" fillId="24" borderId="0" xfId="63" applyFont="1" applyFill="1" applyBorder="1">
      <alignment/>
      <protection/>
    </xf>
    <xf numFmtId="1" fontId="2" fillId="24" borderId="0" xfId="63" applyNumberFormat="1" applyFont="1" applyFill="1" applyBorder="1">
      <alignment/>
      <protection/>
    </xf>
    <xf numFmtId="0" fontId="2" fillId="24" borderId="11" xfId="63" applyFont="1" applyFill="1" applyBorder="1">
      <alignment/>
      <protection/>
    </xf>
    <xf numFmtId="0" fontId="3" fillId="20" borderId="10" xfId="64" applyFont="1" applyFill="1" applyBorder="1" applyAlignment="1" applyProtection="1">
      <alignment horizontal="center" vertical="center" wrapText="1"/>
      <protection/>
    </xf>
    <xf numFmtId="0" fontId="3" fillId="20" borderId="11" xfId="63" applyFont="1" applyFill="1" applyBorder="1">
      <alignment/>
      <protection/>
    </xf>
    <xf numFmtId="0" fontId="2" fillId="20" borderId="0" xfId="63" applyFont="1" applyFill="1" applyBorder="1">
      <alignment/>
      <protection/>
    </xf>
    <xf numFmtId="0" fontId="3" fillId="24" borderId="12" xfId="63" applyFont="1" applyFill="1" applyBorder="1" applyAlignment="1">
      <alignment horizontal="right"/>
      <protection/>
    </xf>
    <xf numFmtId="3" fontId="3" fillId="7" borderId="10" xfId="70" applyNumberFormat="1" applyFont="1" applyFill="1" applyBorder="1" applyAlignment="1">
      <alignment horizontal="center"/>
    </xf>
    <xf numFmtId="0" fontId="2" fillId="24" borderId="12" xfId="63" applyFont="1" applyFill="1" applyBorder="1" applyAlignment="1">
      <alignment horizontal="right"/>
      <protection/>
    </xf>
    <xf numFmtId="3" fontId="2" fillId="7" borderId="10" xfId="70" applyNumberFormat="1" applyFont="1" applyFill="1" applyBorder="1" applyAlignment="1">
      <alignment horizontal="center"/>
    </xf>
    <xf numFmtId="3" fontId="3" fillId="22" borderId="13" xfId="70" applyNumberFormat="1" applyFont="1" applyFill="1" applyBorder="1" applyAlignment="1">
      <alignment horizontal="center"/>
    </xf>
    <xf numFmtId="3" fontId="3" fillId="22" borderId="10" xfId="70" applyNumberFormat="1" applyFont="1" applyFill="1" applyBorder="1" applyAlignment="1">
      <alignment horizontal="center"/>
    </xf>
    <xf numFmtId="0" fontId="3" fillId="20" borderId="0" xfId="63" applyFont="1" applyFill="1">
      <alignment/>
      <protection/>
    </xf>
    <xf numFmtId="0" fontId="2" fillId="20" borderId="0" xfId="63" applyFont="1" applyFill="1">
      <alignment/>
      <protection/>
    </xf>
    <xf numFmtId="0" fontId="3" fillId="24" borderId="10" xfId="63" applyFont="1" applyFill="1" applyBorder="1" applyAlignment="1">
      <alignment horizontal="right" wrapText="1"/>
      <protection/>
    </xf>
    <xf numFmtId="1" fontId="3" fillId="7" borderId="10" xfId="70" applyNumberFormat="1" applyFont="1" applyFill="1" applyBorder="1" applyAlignment="1">
      <alignment horizontal="center"/>
    </xf>
    <xf numFmtId="1" fontId="3" fillId="22" borderId="10" xfId="70" applyNumberFormat="1" applyFont="1" applyFill="1" applyBorder="1" applyAlignment="1">
      <alignment horizontal="center"/>
    </xf>
    <xf numFmtId="1" fontId="2" fillId="24" borderId="0" xfId="63" applyNumberFormat="1" applyFont="1" applyFill="1" applyAlignment="1">
      <alignment horizontal="center"/>
      <protection/>
    </xf>
    <xf numFmtId="0" fontId="2" fillId="24" borderId="0" xfId="63" applyFont="1" applyFill="1" applyAlignment="1">
      <alignment horizontal="center"/>
      <protection/>
    </xf>
    <xf numFmtId="0" fontId="6" fillId="24" borderId="0" xfId="63" applyFont="1" applyFill="1">
      <alignment/>
      <protection/>
    </xf>
    <xf numFmtId="166" fontId="2" fillId="24" borderId="0" xfId="49" applyNumberFormat="1" applyFont="1" applyFill="1" applyAlignment="1">
      <alignment/>
    </xf>
    <xf numFmtId="0" fontId="3" fillId="24" borderId="0" xfId="63" applyFont="1" applyFill="1">
      <alignment/>
      <protection/>
    </xf>
    <xf numFmtId="166" fontId="3" fillId="24" borderId="0" xfId="63" applyNumberFormat="1" applyFont="1" applyFill="1">
      <alignment/>
      <protection/>
    </xf>
    <xf numFmtId="0" fontId="5" fillId="0" borderId="0" xfId="62">
      <alignment/>
      <protection/>
    </xf>
    <xf numFmtId="0" fontId="0" fillId="0" borderId="14" xfId="16" applyFont="1" applyBorder="1">
      <alignment/>
      <protection/>
    </xf>
    <xf numFmtId="0" fontId="0" fillId="0" borderId="15" xfId="16" applyFont="1" applyBorder="1">
      <alignment/>
      <protection/>
    </xf>
    <xf numFmtId="0" fontId="0" fillId="0" borderId="16" xfId="16" applyFont="1" applyBorder="1">
      <alignment/>
      <protection/>
    </xf>
    <xf numFmtId="0" fontId="5" fillId="0" borderId="17" xfId="62" applyBorder="1">
      <alignment/>
      <protection/>
    </xf>
    <xf numFmtId="0" fontId="0" fillId="0" borderId="18" xfId="16" applyFont="1" applyBorder="1">
      <alignment/>
      <protection/>
    </xf>
    <xf numFmtId="0" fontId="1" fillId="0" borderId="11" xfId="16" applyFont="1" applyBorder="1">
      <alignment/>
      <protection/>
    </xf>
    <xf numFmtId="0" fontId="0" fillId="0" borderId="11" xfId="16" applyFont="1" applyBorder="1">
      <alignment/>
      <protection/>
    </xf>
    <xf numFmtId="0" fontId="0" fillId="0" borderId="0" xfId="16" applyFont="1" applyBorder="1">
      <alignment/>
      <protection/>
    </xf>
    <xf numFmtId="0" fontId="0" fillId="0" borderId="19" xfId="16" applyFont="1" applyBorder="1">
      <alignment/>
      <protection/>
    </xf>
    <xf numFmtId="0" fontId="5" fillId="0" borderId="20" xfId="62" applyBorder="1">
      <alignment/>
      <protection/>
    </xf>
    <xf numFmtId="0" fontId="0" fillId="0" borderId="13" xfId="16" applyFont="1" applyBorder="1">
      <alignment/>
      <protection/>
    </xf>
    <xf numFmtId="0" fontId="0" fillId="0" borderId="21" xfId="16" applyFont="1" applyBorder="1">
      <alignment/>
      <protection/>
    </xf>
    <xf numFmtId="0" fontId="0" fillId="0" borderId="22" xfId="16" applyFont="1" applyBorder="1">
      <alignment/>
      <protection/>
    </xf>
    <xf numFmtId="0" fontId="5" fillId="24" borderId="19" xfId="16" applyFont="1" applyFill="1" applyBorder="1">
      <alignment/>
      <protection/>
    </xf>
    <xf numFmtId="3" fontId="0" fillId="4" borderId="0" xfId="16" applyNumberFormat="1" applyFont="1" applyFill="1" applyBorder="1">
      <alignment/>
      <protection/>
    </xf>
    <xf numFmtId="3" fontId="0" fillId="22" borderId="0" xfId="16" applyNumberFormat="1" applyFont="1" applyFill="1" applyBorder="1">
      <alignment/>
      <protection/>
    </xf>
    <xf numFmtId="3" fontId="0" fillId="0" borderId="18" xfId="16" applyNumberFormat="1" applyFont="1" applyFill="1" applyBorder="1">
      <alignment/>
      <protection/>
    </xf>
    <xf numFmtId="1" fontId="0" fillId="4" borderId="0" xfId="16" applyNumberFormat="1" applyFont="1" applyFill="1" applyBorder="1">
      <alignment/>
      <protection/>
    </xf>
    <xf numFmtId="1" fontId="0" fillId="0" borderId="0" xfId="16" applyNumberFormat="1" applyFont="1" applyFill="1" applyBorder="1">
      <alignment/>
      <protection/>
    </xf>
    <xf numFmtId="3" fontId="0" fillId="4" borderId="18" xfId="16" applyNumberFormat="1" applyFont="1" applyFill="1" applyBorder="1">
      <alignment/>
      <protection/>
    </xf>
    <xf numFmtId="1" fontId="0" fillId="22" borderId="0" xfId="16" applyNumberFormat="1" applyFont="1" applyFill="1" applyBorder="1">
      <alignment/>
      <protection/>
    </xf>
    <xf numFmtId="1" fontId="0" fillId="0" borderId="0" xfId="16" applyNumberFormat="1" applyFont="1" applyBorder="1">
      <alignment/>
      <protection/>
    </xf>
    <xf numFmtId="0" fontId="8" fillId="0" borderId="16" xfId="16" applyFont="1" applyBorder="1">
      <alignment/>
      <protection/>
    </xf>
    <xf numFmtId="1" fontId="0" fillId="0" borderId="16" xfId="16" applyNumberFormat="1" applyFont="1" applyFill="1" applyBorder="1">
      <alignment/>
      <protection/>
    </xf>
    <xf numFmtId="1" fontId="0" fillId="0" borderId="22" xfId="16" applyNumberFormat="1" applyFont="1" applyFill="1" applyBorder="1">
      <alignment/>
      <protection/>
    </xf>
    <xf numFmtId="41" fontId="5" fillId="4" borderId="0" xfId="16" applyNumberFormat="1" applyFont="1" applyFill="1" applyBorder="1" applyAlignment="1" applyProtection="1">
      <alignment horizontal="center"/>
      <protection locked="0"/>
    </xf>
    <xf numFmtId="0" fontId="5" fillId="0" borderId="0" xfId="16" applyFont="1" applyBorder="1">
      <alignment/>
      <protection/>
    </xf>
    <xf numFmtId="167" fontId="0" fillId="4" borderId="18" xfId="61" applyNumberFormat="1" applyFont="1" applyFill="1" applyBorder="1" applyAlignment="1">
      <alignment/>
    </xf>
    <xf numFmtId="41" fontId="5" fillId="22" borderId="0" xfId="16" applyNumberFormat="1" applyFont="1" applyFill="1" applyBorder="1" applyAlignment="1" applyProtection="1">
      <alignment horizontal="center"/>
      <protection locked="0"/>
    </xf>
    <xf numFmtId="166" fontId="2" fillId="24" borderId="0" xfId="63" applyNumberFormat="1" applyFont="1" applyFill="1">
      <alignment/>
      <protection/>
    </xf>
    <xf numFmtId="0" fontId="9" fillId="24" borderId="0" xfId="63" applyFont="1" applyFill="1">
      <alignment/>
      <protection/>
    </xf>
    <xf numFmtId="0" fontId="10" fillId="0" borderId="0" xfId="62" applyFont="1">
      <alignment/>
      <protection/>
    </xf>
    <xf numFmtId="0" fontId="3" fillId="20" borderId="11" xfId="63" applyFont="1" applyFill="1" applyBorder="1" quotePrefix="1">
      <alignment/>
      <protection/>
    </xf>
    <xf numFmtId="39" fontId="11" fillId="25" borderId="23" xfId="0" applyNumberFormat="1" applyFont="1" applyFill="1" applyBorder="1" applyAlignment="1">
      <alignment horizontal="left" vertical="center"/>
    </xf>
    <xf numFmtId="39" fontId="8" fillId="24" borderId="24" xfId="66" applyNumberFormat="1" applyFont="1" applyFill="1" applyBorder="1" applyAlignment="1" applyProtection="1">
      <alignment/>
      <protection/>
    </xf>
    <xf numFmtId="39" fontId="8" fillId="24" borderId="25" xfId="66" applyNumberFormat="1" applyFont="1" applyFill="1" applyBorder="1" applyAlignment="1" applyProtection="1">
      <alignment/>
      <protection/>
    </xf>
    <xf numFmtId="39" fontId="8" fillId="24" borderId="26" xfId="66" applyNumberFormat="1" applyFont="1" applyFill="1" applyBorder="1" applyAlignment="1" applyProtection="1">
      <alignment/>
      <protection/>
    </xf>
    <xf numFmtId="39" fontId="8" fillId="24" borderId="0" xfId="66" applyNumberFormat="1" applyFont="1" applyFill="1" applyBorder="1" applyAlignment="1" applyProtection="1">
      <alignment/>
      <protection/>
    </xf>
    <xf numFmtId="4" fontId="5" fillId="24" borderId="0" xfId="0" applyNumberFormat="1" applyFont="1" applyFill="1" applyBorder="1" applyAlignment="1" applyProtection="1">
      <alignment horizontal="right"/>
      <protection locked="0"/>
    </xf>
    <xf numFmtId="0" fontId="11" fillId="25" borderId="23" xfId="0" applyFont="1" applyFill="1" applyBorder="1" applyAlignment="1">
      <alignment/>
    </xf>
    <xf numFmtId="0" fontId="0" fillId="24" borderId="25" xfId="0" applyFill="1" applyBorder="1" applyAlignment="1">
      <alignment/>
    </xf>
    <xf numFmtId="4" fontId="11" fillId="25" borderId="27" xfId="0" applyNumberFormat="1" applyFont="1" applyFill="1" applyBorder="1" applyAlignment="1">
      <alignment horizontal="left" vertical="center"/>
    </xf>
    <xf numFmtId="4" fontId="5" fillId="4" borderId="28" xfId="0" applyNumberFormat="1" applyFont="1" applyFill="1" applyBorder="1" applyAlignment="1" applyProtection="1">
      <alignment horizontal="right"/>
      <protection locked="0"/>
    </xf>
    <xf numFmtId="4" fontId="5" fillId="4" borderId="29" xfId="0" applyNumberFormat="1" applyFont="1" applyFill="1" applyBorder="1" applyAlignment="1" applyProtection="1">
      <alignment horizontal="right"/>
      <protection locked="0"/>
    </xf>
    <xf numFmtId="4" fontId="5" fillId="24" borderId="29" xfId="0" applyNumberFormat="1" applyFont="1" applyFill="1" applyBorder="1" applyAlignment="1" applyProtection="1">
      <alignment horizontal="right"/>
      <protection locked="0"/>
    </xf>
    <xf numFmtId="4" fontId="5" fillId="4" borderId="30" xfId="0" applyNumberFormat="1" applyFont="1" applyFill="1" applyBorder="1" applyAlignment="1" applyProtection="1">
      <alignment horizontal="right"/>
      <protection locked="0"/>
    </xf>
    <xf numFmtId="0" fontId="13" fillId="24" borderId="0" xfId="0" applyFont="1" applyFill="1" applyBorder="1" applyAlignment="1">
      <alignment/>
    </xf>
    <xf numFmtId="39" fontId="8" fillId="24" borderId="31" xfId="66" applyNumberFormat="1" applyFont="1" applyFill="1" applyBorder="1" applyAlignment="1" applyProtection="1">
      <alignment/>
      <protection/>
    </xf>
    <xf numFmtId="0" fontId="14" fillId="24" borderId="25" xfId="0" applyFont="1" applyFill="1" applyBorder="1" applyAlignment="1">
      <alignment/>
    </xf>
    <xf numFmtId="39" fontId="8" fillId="24" borderId="24" xfId="0" applyNumberFormat="1" applyFont="1" applyFill="1" applyBorder="1" applyAlignment="1">
      <alignment/>
    </xf>
    <xf numFmtId="39" fontId="8" fillId="24" borderId="25" xfId="0" applyNumberFormat="1" applyFont="1" applyFill="1" applyBorder="1" applyAlignment="1">
      <alignment/>
    </xf>
    <xf numFmtId="39" fontId="8" fillId="24" borderId="31" xfId="0" applyNumberFormat="1" applyFont="1" applyFill="1" applyBorder="1" applyAlignment="1">
      <alignment/>
    </xf>
    <xf numFmtId="39" fontId="8" fillId="24" borderId="32" xfId="0" applyNumberFormat="1" applyFont="1" applyFill="1" applyBorder="1" applyAlignment="1">
      <alignment/>
    </xf>
    <xf numFmtId="39" fontId="8" fillId="24" borderId="33" xfId="0" applyNumberFormat="1" applyFont="1" applyFill="1" applyBorder="1" applyAlignment="1">
      <alignment/>
    </xf>
    <xf numFmtId="4" fontId="11" fillId="25" borderId="34" xfId="0" applyNumberFormat="1" applyFont="1" applyFill="1" applyBorder="1" applyAlignment="1">
      <alignment horizontal="left" vertical="center"/>
    </xf>
    <xf numFmtId="3" fontId="5" fillId="4" borderId="35" xfId="0" applyNumberFormat="1" applyFont="1" applyFill="1" applyBorder="1" applyAlignment="1" applyProtection="1">
      <alignment horizontal="right"/>
      <protection locked="0"/>
    </xf>
    <xf numFmtId="3" fontId="5" fillId="4" borderId="36" xfId="0" applyNumberFormat="1" applyFont="1" applyFill="1" applyBorder="1" applyAlignment="1" applyProtection="1">
      <alignment horizontal="right"/>
      <protection locked="0"/>
    </xf>
    <xf numFmtId="3" fontId="5" fillId="24" borderId="36" xfId="0" applyNumberFormat="1" applyFont="1" applyFill="1" applyBorder="1" applyAlignment="1" applyProtection="1">
      <alignment horizontal="right"/>
      <protection locked="0"/>
    </xf>
    <xf numFmtId="3" fontId="5" fillId="4" borderId="37" xfId="0" applyNumberFormat="1" applyFont="1" applyFill="1" applyBorder="1" applyAlignment="1" applyProtection="1">
      <alignment horizontal="right"/>
      <protection locked="0"/>
    </xf>
    <xf numFmtId="3" fontId="5" fillId="24" borderId="0" xfId="0" applyNumberFormat="1" applyFont="1" applyFill="1" applyBorder="1" applyAlignment="1" applyProtection="1">
      <alignment horizontal="right"/>
      <protection locked="0"/>
    </xf>
    <xf numFmtId="3" fontId="11" fillId="25" borderId="34" xfId="0" applyNumberFormat="1" applyFont="1" applyFill="1" applyBorder="1" applyAlignment="1">
      <alignment horizontal="left" vertical="center"/>
    </xf>
    <xf numFmtId="3" fontId="13" fillId="24" borderId="0" xfId="0" applyNumberFormat="1" applyFont="1" applyFill="1" applyBorder="1" applyAlignment="1">
      <alignment/>
    </xf>
    <xf numFmtId="3" fontId="2" fillId="24" borderId="0" xfId="63" applyNumberFormat="1" applyFont="1" applyFill="1">
      <alignment/>
      <protection/>
    </xf>
    <xf numFmtId="3" fontId="3" fillId="24" borderId="0" xfId="63" applyNumberFormat="1" applyFont="1" applyFill="1">
      <alignment/>
      <protection/>
    </xf>
    <xf numFmtId="167" fontId="2" fillId="24" borderId="0" xfId="60" applyNumberFormat="1" applyFont="1" applyFill="1" applyAlignment="1">
      <alignment/>
    </xf>
    <xf numFmtId="4" fontId="2" fillId="24" borderId="0" xfId="63" applyNumberFormat="1" applyFont="1" applyFill="1">
      <alignment/>
      <protection/>
    </xf>
    <xf numFmtId="0" fontId="2" fillId="4" borderId="0" xfId="63" applyFont="1" applyFill="1">
      <alignment/>
      <protection/>
    </xf>
    <xf numFmtId="9" fontId="2" fillId="4" borderId="0" xfId="63" applyNumberFormat="1" applyFont="1" applyFill="1">
      <alignment/>
      <protection/>
    </xf>
    <xf numFmtId="0" fontId="5" fillId="25" borderId="2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9" fontId="15" fillId="25" borderId="27" xfId="0" applyNumberFormat="1" applyFont="1" applyFill="1" applyBorder="1" applyAlignment="1">
      <alignment horizontal="left" vertical="center"/>
    </xf>
    <xf numFmtId="39" fontId="11" fillId="25" borderId="27" xfId="0" applyNumberFormat="1" applyFont="1" applyFill="1" applyBorder="1" applyAlignment="1">
      <alignment horizontal="left" vertical="center"/>
    </xf>
    <xf numFmtId="39" fontId="11" fillId="25" borderId="34" xfId="0" applyNumberFormat="1" applyFont="1" applyFill="1" applyBorder="1" applyAlignment="1">
      <alignment horizontal="left" vertical="center"/>
    </xf>
    <xf numFmtId="4" fontId="11" fillId="25" borderId="38" xfId="0" applyNumberFormat="1" applyFont="1" applyFill="1" applyBorder="1" applyAlignment="1">
      <alignment horizontal="left" vertical="center"/>
    </xf>
    <xf numFmtId="39" fontId="8" fillId="24" borderId="28" xfId="0" applyNumberFormat="1" applyFont="1" applyFill="1" applyBorder="1" applyAlignment="1">
      <alignment horizontal="center"/>
    </xf>
    <xf numFmtId="0" fontId="5" fillId="24" borderId="39" xfId="0" applyFont="1" applyFill="1" applyBorder="1" applyAlignment="1">
      <alignment/>
    </xf>
    <xf numFmtId="166" fontId="5" fillId="24" borderId="40" xfId="49" applyNumberFormat="1" applyFont="1" applyFill="1" applyBorder="1" applyAlignment="1" applyProtection="1">
      <alignment horizontal="right"/>
      <protection locked="0"/>
    </xf>
    <xf numFmtId="0" fontId="5" fillId="24" borderId="28" xfId="0" applyFont="1" applyFill="1" applyBorder="1" applyAlignment="1">
      <alignment/>
    </xf>
    <xf numFmtId="166" fontId="5" fillId="24" borderId="41" xfId="49" applyNumberFormat="1" applyFont="1" applyFill="1" applyBorder="1" applyAlignment="1" applyProtection="1">
      <alignment horizontal="right"/>
      <protection locked="0"/>
    </xf>
    <xf numFmtId="39" fontId="8" fillId="24" borderId="29" xfId="0" applyNumberFormat="1" applyFont="1" applyFill="1" applyBorder="1" applyAlignment="1">
      <alignment horizontal="center"/>
    </xf>
    <xf numFmtId="0" fontId="5" fillId="24" borderId="42" xfId="0" applyFont="1" applyFill="1" applyBorder="1" applyAlignment="1">
      <alignment/>
    </xf>
    <xf numFmtId="166" fontId="5" fillId="24" borderId="43" xfId="49" applyNumberFormat="1" applyFont="1" applyFill="1" applyBorder="1" applyAlignment="1" applyProtection="1">
      <alignment horizontal="right"/>
      <protection locked="0"/>
    </xf>
    <xf numFmtId="0" fontId="5" fillId="24" borderId="29" xfId="0" applyFont="1" applyFill="1" applyBorder="1" applyAlignment="1">
      <alignment/>
    </xf>
    <xf numFmtId="39" fontId="8" fillId="24" borderId="30" xfId="0" applyNumberFormat="1" applyFont="1" applyFill="1" applyBorder="1" applyAlignment="1">
      <alignment horizontal="center"/>
    </xf>
    <xf numFmtId="0" fontId="5" fillId="24" borderId="44" xfId="0" applyFont="1" applyFill="1" applyBorder="1" applyAlignment="1">
      <alignment/>
    </xf>
    <xf numFmtId="166" fontId="5" fillId="24" borderId="45" xfId="49" applyNumberFormat="1" applyFont="1" applyFill="1" applyBorder="1" applyAlignment="1" applyProtection="1">
      <alignment horizontal="right"/>
      <protection locked="0"/>
    </xf>
    <xf numFmtId="0" fontId="5" fillId="24" borderId="30" xfId="0" applyFont="1" applyFill="1" applyBorder="1" applyAlignment="1">
      <alignment/>
    </xf>
    <xf numFmtId="39" fontId="8" fillId="25" borderId="27" xfId="0" applyNumberFormat="1" applyFont="1" applyFill="1" applyBorder="1" applyAlignment="1">
      <alignment horizontal="center"/>
    </xf>
    <xf numFmtId="0" fontId="5" fillId="24" borderId="46" xfId="0" applyFont="1" applyFill="1" applyBorder="1" applyAlignment="1">
      <alignment/>
    </xf>
    <xf numFmtId="0" fontId="0" fillId="24" borderId="29" xfId="0" applyFill="1" applyBorder="1" applyAlignment="1">
      <alignment/>
    </xf>
    <xf numFmtId="39" fontId="16" fillId="2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6" fontId="5" fillId="24" borderId="29" xfId="49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7" fillId="25" borderId="27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37" fontId="5" fillId="24" borderId="28" xfId="0" applyNumberFormat="1" applyFont="1" applyFill="1" applyBorder="1" applyAlignment="1">
      <alignment horizontal="center"/>
    </xf>
    <xf numFmtId="37" fontId="5" fillId="24" borderId="29" xfId="0" applyNumberFormat="1" applyFont="1" applyFill="1" applyBorder="1" applyAlignment="1">
      <alignment horizontal="center"/>
    </xf>
    <xf numFmtId="37" fontId="5" fillId="24" borderId="3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11" fillId="25" borderId="47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9" fontId="11" fillId="25" borderId="47" xfId="0" applyNumberFormat="1" applyFont="1" applyFill="1" applyBorder="1" applyAlignment="1">
      <alignment horizontal="left" vertical="center"/>
    </xf>
    <xf numFmtId="39" fontId="8" fillId="24" borderId="36" xfId="0" applyNumberFormat="1" applyFont="1" applyFill="1" applyBorder="1" applyAlignment="1">
      <alignment horizontal="center"/>
    </xf>
    <xf numFmtId="39" fontId="8" fillId="24" borderId="37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0" fillId="24" borderId="36" xfId="0" applyFill="1" applyBorder="1" applyAlignment="1">
      <alignment/>
    </xf>
    <xf numFmtId="0" fontId="0" fillId="0" borderId="0" xfId="0" applyFill="1" applyAlignment="1">
      <alignment/>
    </xf>
    <xf numFmtId="39" fontId="11" fillId="25" borderId="48" xfId="0" applyNumberFormat="1" applyFont="1" applyFill="1" applyBorder="1" applyAlignment="1">
      <alignment horizontal="left" vertical="center"/>
    </xf>
    <xf numFmtId="39" fontId="11" fillId="25" borderId="38" xfId="0" applyNumberFormat="1" applyFont="1" applyFill="1" applyBorder="1" applyAlignment="1">
      <alignment horizontal="left" vertical="center"/>
    </xf>
    <xf numFmtId="0" fontId="5" fillId="24" borderId="36" xfId="0" applyFont="1" applyFill="1" applyBorder="1" applyAlignment="1">
      <alignment/>
    </xf>
    <xf numFmtId="0" fontId="5" fillId="24" borderId="49" xfId="0" applyFont="1" applyFill="1" applyBorder="1" applyAlignment="1">
      <alignment/>
    </xf>
    <xf numFmtId="0" fontId="5" fillId="24" borderId="37" xfId="0" applyFont="1" applyFill="1" applyBorder="1" applyAlignment="1">
      <alignment/>
    </xf>
    <xf numFmtId="166" fontId="5" fillId="24" borderId="50" xfId="49" applyNumberFormat="1" applyFont="1" applyFill="1" applyBorder="1" applyAlignment="1" applyProtection="1">
      <alignment horizontal="right"/>
      <protection locked="0"/>
    </xf>
    <xf numFmtId="166" fontId="5" fillId="24" borderId="51" xfId="49" applyNumberFormat="1" applyFont="1" applyFill="1" applyBorder="1" applyAlignment="1" applyProtection="1">
      <alignment horizontal="right"/>
      <protection locked="0"/>
    </xf>
    <xf numFmtId="4" fontId="5" fillId="24" borderId="36" xfId="0" applyNumberFormat="1" applyFont="1" applyFill="1" applyBorder="1" applyAlignment="1" applyProtection="1">
      <alignment horizontal="right"/>
      <protection locked="0"/>
    </xf>
    <xf numFmtId="166" fontId="5" fillId="24" borderId="52" xfId="49" applyNumberFormat="1" applyFont="1" applyFill="1" applyBorder="1" applyAlignment="1" applyProtection="1">
      <alignment horizontal="right"/>
      <protection locked="0"/>
    </xf>
    <xf numFmtId="39" fontId="5" fillId="24" borderId="28" xfId="0" applyNumberFormat="1" applyFont="1" applyFill="1" applyBorder="1" applyAlignment="1">
      <alignment horizontal="center"/>
    </xf>
    <xf numFmtId="39" fontId="5" fillId="24" borderId="35" xfId="0" applyNumberFormat="1" applyFont="1" applyFill="1" applyBorder="1" applyAlignment="1">
      <alignment horizontal="center"/>
    </xf>
    <xf numFmtId="39" fontId="5" fillId="24" borderId="29" xfId="0" applyNumberFormat="1" applyFont="1" applyFill="1" applyBorder="1" applyAlignment="1">
      <alignment horizontal="center"/>
    </xf>
    <xf numFmtId="39" fontId="5" fillId="24" borderId="36" xfId="0" applyNumberFormat="1" applyFont="1" applyFill="1" applyBorder="1" applyAlignment="1">
      <alignment horizontal="center"/>
    </xf>
    <xf numFmtId="39" fontId="5" fillId="24" borderId="30" xfId="0" applyNumberFormat="1" applyFont="1" applyFill="1" applyBorder="1" applyAlignment="1">
      <alignment horizontal="center"/>
    </xf>
    <xf numFmtId="39" fontId="5" fillId="24" borderId="37" xfId="0" applyNumberFormat="1" applyFont="1" applyFill="1" applyBorder="1" applyAlignment="1">
      <alignment horizontal="center"/>
    </xf>
    <xf numFmtId="43" fontId="5" fillId="24" borderId="40" xfId="49" applyNumberFormat="1" applyFont="1" applyFill="1" applyBorder="1" applyAlignment="1" applyProtection="1">
      <alignment horizontal="right"/>
      <protection locked="0"/>
    </xf>
    <xf numFmtId="43" fontId="5" fillId="24" borderId="43" xfId="49" applyNumberFormat="1" applyFont="1" applyFill="1" applyBorder="1" applyAlignment="1" applyProtection="1">
      <alignment horizontal="right"/>
      <protection locked="0"/>
    </xf>
    <xf numFmtId="43" fontId="5" fillId="24" borderId="29" xfId="0" applyNumberFormat="1" applyFont="1" applyFill="1" applyBorder="1" applyAlignment="1" applyProtection="1">
      <alignment horizontal="right"/>
      <protection locked="0"/>
    </xf>
    <xf numFmtId="43" fontId="0" fillId="24" borderId="29" xfId="0" applyNumberFormat="1" applyFill="1" applyBorder="1" applyAlignment="1">
      <alignment/>
    </xf>
    <xf numFmtId="43" fontId="5" fillId="24" borderId="45" xfId="49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49" applyNumberFormat="1" applyFont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60" applyNumberFormat="1" applyFont="1" applyBorder="1" applyAlignment="1">
      <alignment/>
    </xf>
    <xf numFmtId="1" fontId="3" fillId="24" borderId="0" xfId="63" applyNumberFormat="1" applyFont="1" applyFill="1">
      <alignment/>
      <protection/>
    </xf>
    <xf numFmtId="43" fontId="5" fillId="24" borderId="41" xfId="49" applyNumberFormat="1" applyFont="1" applyFill="1" applyBorder="1" applyAlignment="1" applyProtection="1">
      <alignment horizontal="right"/>
      <protection locked="0"/>
    </xf>
    <xf numFmtId="0" fontId="0" fillId="24" borderId="0" xfId="0" applyFill="1" applyBorder="1" applyAlignment="1">
      <alignment/>
    </xf>
    <xf numFmtId="0" fontId="20" fillId="24" borderId="48" xfId="0" applyFont="1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170" fontId="0" fillId="0" borderId="10" xfId="49" applyNumberFormat="1" applyFont="1" applyBorder="1" applyAlignment="1">
      <alignment/>
    </xf>
    <xf numFmtId="43" fontId="0" fillId="0" borderId="0" xfId="0" applyNumberFormat="1" applyFill="1" applyAlignment="1">
      <alignment/>
    </xf>
    <xf numFmtId="39" fontId="8" fillId="0" borderId="0" xfId="66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 horizontal="center"/>
    </xf>
    <xf numFmtId="43" fontId="13" fillId="0" borderId="0" xfId="0" applyNumberFormat="1" applyFont="1" applyFill="1" applyBorder="1" applyAlignment="1">
      <alignment/>
    </xf>
    <xf numFmtId="2" fontId="5" fillId="24" borderId="39" xfId="0" applyNumberFormat="1" applyFont="1" applyFill="1" applyBorder="1" applyAlignment="1">
      <alignment horizontal="center"/>
    </xf>
    <xf numFmtId="2" fontId="5" fillId="24" borderId="35" xfId="0" applyNumberFormat="1" applyFont="1" applyFill="1" applyBorder="1" applyAlignment="1">
      <alignment horizontal="center"/>
    </xf>
    <xf numFmtId="2" fontId="5" fillId="24" borderId="42" xfId="0" applyNumberFormat="1" applyFont="1" applyFill="1" applyBorder="1" applyAlignment="1">
      <alignment horizontal="center"/>
    </xf>
    <xf numFmtId="2" fontId="5" fillId="24" borderId="36" xfId="0" applyNumberFormat="1" applyFont="1" applyFill="1" applyBorder="1" applyAlignment="1">
      <alignment horizontal="center"/>
    </xf>
    <xf numFmtId="2" fontId="5" fillId="24" borderId="46" xfId="0" applyNumberFormat="1" applyFont="1" applyFill="1" applyBorder="1" applyAlignment="1">
      <alignment horizontal="center"/>
    </xf>
    <xf numFmtId="2" fontId="5" fillId="24" borderId="4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69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3" fillId="25" borderId="0" xfId="62" applyFont="1" applyFill="1" applyBorder="1" applyAlignment="1">
      <alignment/>
      <protection/>
    </xf>
    <xf numFmtId="39" fontId="22" fillId="25" borderId="0" xfId="62" applyNumberFormat="1" applyFont="1" applyFill="1" applyBorder="1" applyAlignment="1">
      <alignment horizontal="left" vertical="center"/>
      <protection/>
    </xf>
    <xf numFmtId="39" fontId="23" fillId="25" borderId="0" xfId="62" applyNumberFormat="1" applyFont="1" applyFill="1" applyBorder="1" applyAlignment="1">
      <alignment horizontal="left" vertical="center"/>
      <protection/>
    </xf>
    <xf numFmtId="39" fontId="22" fillId="25" borderId="0" xfId="62" applyNumberFormat="1" applyFont="1" applyFill="1" applyBorder="1" applyAlignment="1">
      <alignment horizontal="center" vertical="center"/>
      <protection/>
    </xf>
    <xf numFmtId="39" fontId="23" fillId="25" borderId="0" xfId="62" applyNumberFormat="1" applyFont="1" applyFill="1" applyBorder="1" applyAlignment="1">
      <alignment horizontal="center" vertical="center"/>
      <protection/>
    </xf>
    <xf numFmtId="0" fontId="24" fillId="25" borderId="0" xfId="62" applyFont="1" applyFill="1" applyBorder="1" applyAlignment="1">
      <alignment/>
      <protection/>
    </xf>
    <xf numFmtId="37" fontId="22" fillId="25" borderId="10" xfId="57" applyFont="1" applyFill="1" applyBorder="1" applyAlignment="1" applyProtection="1">
      <alignment horizontal="right"/>
      <protection/>
    </xf>
    <xf numFmtId="0" fontId="13" fillId="24" borderId="0" xfId="62" applyFont="1" applyFill="1" applyBorder="1" applyAlignment="1">
      <alignment/>
      <protection/>
    </xf>
    <xf numFmtId="0" fontId="13" fillId="0" borderId="0" xfId="62" applyFont="1" applyFill="1" applyBorder="1" applyAlignment="1">
      <alignment/>
      <protection/>
    </xf>
    <xf numFmtId="39" fontId="16" fillId="24" borderId="0" xfId="62" applyNumberFormat="1" applyFont="1" applyFill="1" applyBorder="1" applyAlignment="1">
      <alignment horizontal="center"/>
      <protection/>
    </xf>
    <xf numFmtId="0" fontId="13" fillId="24" borderId="0" xfId="62" applyFont="1" applyFill="1" applyBorder="1" applyAlignment="1">
      <alignment horizontal="center"/>
      <protection/>
    </xf>
    <xf numFmtId="0" fontId="19" fillId="24" borderId="0" xfId="62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vertical="top"/>
      <protection/>
    </xf>
    <xf numFmtId="0" fontId="26" fillId="0" borderId="0" xfId="62" applyNumberFormat="1" applyFont="1" applyFill="1" applyBorder="1" applyAlignment="1">
      <alignment vertical="top"/>
      <protection/>
    </xf>
    <xf numFmtId="0" fontId="18" fillId="24" borderId="0" xfId="62" applyFont="1" applyFill="1" applyBorder="1" applyAlignment="1">
      <alignment/>
      <protection/>
    </xf>
    <xf numFmtId="39" fontId="27" fillId="25" borderId="23" xfId="62" applyNumberFormat="1" applyFont="1" applyFill="1" applyBorder="1" applyAlignment="1">
      <alignment horizontal="left" vertical="center"/>
      <protection/>
    </xf>
    <xf numFmtId="39" fontId="15" fillId="25" borderId="27" xfId="62" applyNumberFormat="1" applyFont="1" applyFill="1" applyBorder="1" applyAlignment="1">
      <alignment horizontal="left" vertical="center"/>
      <protection/>
    </xf>
    <xf numFmtId="4" fontId="15" fillId="25" borderId="27" xfId="62" applyNumberFormat="1" applyFont="1" applyFill="1" applyBorder="1" applyAlignment="1">
      <alignment horizontal="left" vertical="center"/>
      <protection/>
    </xf>
    <xf numFmtId="0" fontId="17" fillId="25" borderId="27" xfId="62" applyFont="1" applyFill="1" applyBorder="1" applyAlignment="1">
      <alignment/>
      <protection/>
    </xf>
    <xf numFmtId="0" fontId="17" fillId="25" borderId="34" xfId="62" applyFont="1" applyFill="1" applyBorder="1" applyAlignment="1">
      <alignment/>
      <protection/>
    </xf>
    <xf numFmtId="0" fontId="17" fillId="0" borderId="0" xfId="62" applyFont="1" applyFill="1" applyBorder="1" applyAlignment="1">
      <alignment/>
      <protection/>
    </xf>
    <xf numFmtId="0" fontId="17" fillId="24" borderId="0" xfId="62" applyFont="1" applyFill="1" applyBorder="1" applyAlignment="1">
      <alignment/>
      <protection/>
    </xf>
    <xf numFmtId="39" fontId="15" fillId="24" borderId="0" xfId="62" applyNumberFormat="1" applyFont="1" applyFill="1" applyBorder="1" applyAlignment="1">
      <alignment horizontal="left" vertical="center"/>
      <protection/>
    </xf>
    <xf numFmtId="4" fontId="15" fillId="24" borderId="0" xfId="62" applyNumberFormat="1" applyFont="1" applyFill="1" applyBorder="1" applyAlignment="1">
      <alignment horizontal="left" vertical="center"/>
      <protection/>
    </xf>
    <xf numFmtId="39" fontId="11" fillId="25" borderId="23" xfId="62" applyNumberFormat="1" applyFont="1" applyFill="1" applyBorder="1" applyAlignment="1">
      <alignment horizontal="left" vertical="center"/>
      <protection/>
    </xf>
    <xf numFmtId="39" fontId="11" fillId="25" borderId="27" xfId="62" applyNumberFormat="1" applyFont="1" applyFill="1" applyBorder="1" applyAlignment="1">
      <alignment horizontal="left" vertical="center"/>
      <protection/>
    </xf>
    <xf numFmtId="4" fontId="11" fillId="25" borderId="27" xfId="62" applyNumberFormat="1" applyFont="1" applyFill="1" applyBorder="1" applyAlignment="1">
      <alignment horizontal="left" vertical="center"/>
      <protection/>
    </xf>
    <xf numFmtId="39" fontId="11" fillId="25" borderId="34" xfId="62" applyNumberFormat="1" applyFont="1" applyFill="1" applyBorder="1" applyAlignment="1">
      <alignment horizontal="left" vertical="center"/>
      <protection/>
    </xf>
    <xf numFmtId="0" fontId="11" fillId="25" borderId="12" xfId="62" applyFont="1" applyFill="1" applyBorder="1" applyAlignment="1">
      <alignment/>
      <protection/>
    </xf>
    <xf numFmtId="39" fontId="8" fillId="0" borderId="32" xfId="62" applyNumberFormat="1" applyFont="1" applyFill="1" applyBorder="1" applyAlignment="1">
      <alignment horizontal="left"/>
      <protection/>
    </xf>
    <xf numFmtId="39" fontId="8" fillId="0" borderId="57" xfId="62" applyNumberFormat="1" applyFont="1" applyFill="1" applyBorder="1" applyAlignment="1">
      <alignment horizontal="center"/>
      <protection/>
    </xf>
    <xf numFmtId="0" fontId="5" fillId="0" borderId="28" xfId="62" applyFont="1" applyFill="1" applyBorder="1" applyAlignment="1">
      <alignment/>
      <protection/>
    </xf>
    <xf numFmtId="166" fontId="5" fillId="24" borderId="58" xfId="49" applyNumberFormat="1" applyFont="1" applyFill="1" applyBorder="1" applyAlignment="1" applyProtection="1">
      <alignment/>
      <protection/>
    </xf>
    <xf numFmtId="4" fontId="5" fillId="4" borderId="59" xfId="62" applyNumberFormat="1" applyFont="1" applyFill="1" applyBorder="1" applyAlignment="1" applyProtection="1">
      <alignment horizontal="right"/>
      <protection locked="0"/>
    </xf>
    <xf numFmtId="0" fontId="5" fillId="0" borderId="60" xfId="62" applyFont="1" applyFill="1" applyBorder="1" applyAlignment="1">
      <alignment/>
      <protection/>
    </xf>
    <xf numFmtId="0" fontId="8" fillId="0" borderId="14" xfId="62" applyFont="1" applyFill="1" applyBorder="1" applyAlignment="1">
      <alignment/>
      <protection/>
    </xf>
    <xf numFmtId="171" fontId="5" fillId="4" borderId="61" xfId="62" applyNumberFormat="1" applyFont="1" applyFill="1" applyBorder="1" applyAlignment="1" applyProtection="1">
      <alignment horizontal="right"/>
      <protection locked="0"/>
    </xf>
    <xf numFmtId="0" fontId="5" fillId="0" borderId="52" xfId="62" applyFont="1" applyFill="1" applyBorder="1" applyAlignment="1">
      <alignment/>
      <protection/>
    </xf>
    <xf numFmtId="0" fontId="8" fillId="0" borderId="18" xfId="62" applyFont="1" applyFill="1" applyBorder="1" applyAlignment="1">
      <alignment/>
      <protection/>
    </xf>
    <xf numFmtId="0" fontId="11" fillId="24" borderId="0" xfId="62" applyFont="1" applyFill="1" applyBorder="1" applyAlignment="1">
      <alignment horizontal="left"/>
      <protection/>
    </xf>
    <xf numFmtId="39" fontId="11" fillId="24" borderId="0" xfId="62" applyNumberFormat="1" applyFont="1" applyFill="1" applyBorder="1" applyAlignment="1">
      <alignment horizontal="center"/>
      <protection/>
    </xf>
    <xf numFmtId="0" fontId="29" fillId="24" borderId="0" xfId="62" applyFont="1" applyFill="1" applyBorder="1" applyAlignment="1">
      <alignment/>
      <protection/>
    </xf>
    <xf numFmtId="3" fontId="29" fillId="24" borderId="0" xfId="62" applyNumberFormat="1" applyFont="1" applyFill="1" applyBorder="1" applyAlignment="1" applyProtection="1">
      <alignment/>
      <protection/>
    </xf>
    <xf numFmtId="4" fontId="29" fillId="24" borderId="0" xfId="62" applyNumberFormat="1" applyFont="1" applyFill="1" applyBorder="1" applyAlignment="1" applyProtection="1">
      <alignment horizontal="right"/>
      <protection locked="0"/>
    </xf>
    <xf numFmtId="0" fontId="8" fillId="24" borderId="13" xfId="62" applyFont="1" applyFill="1" applyBorder="1" applyAlignment="1">
      <alignment/>
      <protection/>
    </xf>
    <xf numFmtId="166" fontId="5" fillId="24" borderId="39" xfId="49" applyNumberFormat="1" applyFont="1" applyFill="1" applyBorder="1" applyAlignment="1">
      <alignment/>
    </xf>
    <xf numFmtId="171" fontId="5" fillId="4" borderId="59" xfId="62" applyNumberFormat="1" applyFont="1" applyFill="1" applyBorder="1" applyAlignment="1" applyProtection="1">
      <alignment horizontal="right"/>
      <protection locked="0"/>
    </xf>
    <xf numFmtId="39" fontId="11" fillId="24" borderId="0" xfId="62" applyNumberFormat="1" applyFont="1" applyFill="1" applyBorder="1" applyAlignment="1">
      <alignment horizontal="left"/>
      <protection/>
    </xf>
    <xf numFmtId="3" fontId="29" fillId="24" borderId="0" xfId="62" applyNumberFormat="1" applyFont="1" applyFill="1" applyBorder="1" applyAlignment="1">
      <alignment/>
      <protection/>
    </xf>
    <xf numFmtId="0" fontId="5" fillId="0" borderId="57" xfId="62" applyFont="1" applyFill="1" applyBorder="1" applyAlignment="1">
      <alignment/>
      <protection/>
    </xf>
    <xf numFmtId="166" fontId="5" fillId="24" borderId="62" xfId="49" applyNumberFormat="1" applyFont="1" applyFill="1" applyBorder="1" applyAlignment="1" applyProtection="1">
      <alignment/>
      <protection/>
    </xf>
    <xf numFmtId="171" fontId="5" fillId="4" borderId="45" xfId="62" applyNumberFormat="1" applyFont="1" applyFill="1" applyBorder="1" applyAlignment="1" applyProtection="1">
      <alignment horizontal="right"/>
      <protection locked="0"/>
    </xf>
    <xf numFmtId="39" fontId="8" fillId="0" borderId="0" xfId="62" applyNumberFormat="1" applyFont="1" applyFill="1" applyBorder="1" applyAlignment="1">
      <alignment horizontal="left"/>
      <protection/>
    </xf>
    <xf numFmtId="39" fontId="8" fillId="0" borderId="0" xfId="62" applyNumberFormat="1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/>
      <protection/>
    </xf>
    <xf numFmtId="4" fontId="5" fillId="24" borderId="0" xfId="62" applyNumberFormat="1" applyFont="1" applyFill="1" applyBorder="1" applyAlignment="1" applyProtection="1">
      <alignment horizontal="right"/>
      <protection locked="0"/>
    </xf>
    <xf numFmtId="0" fontId="27" fillId="25" borderId="23" xfId="62" applyFont="1" applyFill="1" applyBorder="1" applyAlignment="1">
      <alignment horizontal="left" vertical="center"/>
      <protection/>
    </xf>
    <xf numFmtId="0" fontId="13" fillId="25" borderId="27" xfId="62" applyFont="1" applyFill="1" applyBorder="1" applyAlignment="1">
      <alignment/>
      <protection/>
    </xf>
    <xf numFmtId="4" fontId="5" fillId="25" borderId="27" xfId="62" applyNumberFormat="1" applyFont="1" applyFill="1" applyBorder="1" applyAlignment="1" applyProtection="1">
      <alignment horizontal="right"/>
      <protection locked="0"/>
    </xf>
    <xf numFmtId="0" fontId="13" fillId="25" borderId="34" xfId="62" applyFont="1" applyFill="1" applyBorder="1" applyAlignment="1">
      <alignment/>
      <protection/>
    </xf>
    <xf numFmtId="0" fontId="15" fillId="24" borderId="0" xfId="62" applyFont="1" applyFill="1" applyBorder="1" applyAlignment="1">
      <alignment/>
      <protection/>
    </xf>
    <xf numFmtId="39" fontId="8" fillId="24" borderId="28" xfId="62" applyNumberFormat="1" applyFont="1" applyFill="1" applyBorder="1" applyAlignment="1">
      <alignment horizontal="center"/>
      <protection/>
    </xf>
    <xf numFmtId="0" fontId="5" fillId="24" borderId="39" xfId="62" applyFont="1" applyFill="1" applyBorder="1" applyAlignment="1">
      <alignment/>
      <protection/>
    </xf>
    <xf numFmtId="4" fontId="5" fillId="4" borderId="28" xfId="62" applyNumberFormat="1" applyFont="1" applyFill="1" applyBorder="1" applyAlignment="1" applyProtection="1">
      <alignment horizontal="right"/>
      <protection locked="0"/>
    </xf>
    <xf numFmtId="0" fontId="5" fillId="0" borderId="50" xfId="62" applyFont="1" applyFill="1" applyBorder="1" applyAlignment="1">
      <alignment/>
      <protection/>
    </xf>
    <xf numFmtId="39" fontId="8" fillId="24" borderId="29" xfId="62" applyNumberFormat="1" applyFont="1" applyFill="1" applyBorder="1" applyAlignment="1">
      <alignment horizontal="center"/>
      <protection/>
    </xf>
    <xf numFmtId="0" fontId="5" fillId="24" borderId="42" xfId="62" applyFont="1" applyFill="1" applyBorder="1" applyAlignment="1">
      <alignment/>
      <protection/>
    </xf>
    <xf numFmtId="4" fontId="5" fillId="4" borderId="29" xfId="62" applyNumberFormat="1" applyFont="1" applyFill="1" applyBorder="1" applyAlignment="1" applyProtection="1">
      <alignment horizontal="right"/>
      <protection locked="0"/>
    </xf>
    <xf numFmtId="0" fontId="5" fillId="24" borderId="29" xfId="62" applyFont="1" applyFill="1" applyBorder="1" applyAlignment="1">
      <alignment/>
      <protection/>
    </xf>
    <xf numFmtId="4" fontId="5" fillId="24" borderId="29" xfId="62" applyNumberFormat="1" applyFont="1" applyFill="1" applyBorder="1" applyAlignment="1" applyProtection="1">
      <alignment horizontal="right"/>
      <protection locked="0"/>
    </xf>
    <xf numFmtId="0" fontId="5" fillId="0" borderId="36" xfId="62" applyFont="1" applyFill="1" applyBorder="1" applyAlignment="1">
      <alignment/>
      <protection/>
    </xf>
    <xf numFmtId="0" fontId="13" fillId="25" borderId="0" xfId="62" applyFont="1" applyFill="1" applyAlignment="1">
      <alignment/>
      <protection/>
    </xf>
    <xf numFmtId="0" fontId="19" fillId="24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0" fontId="13" fillId="24" borderId="0" xfId="62" applyFont="1" applyFill="1" applyAlignment="1">
      <alignment/>
      <protection/>
    </xf>
    <xf numFmtId="39" fontId="8" fillId="24" borderId="30" xfId="62" applyNumberFormat="1" applyFont="1" applyFill="1" applyBorder="1" applyAlignment="1">
      <alignment horizontal="center"/>
      <protection/>
    </xf>
    <xf numFmtId="0" fontId="5" fillId="24" borderId="44" xfId="62" applyFont="1" applyFill="1" applyBorder="1" applyAlignment="1">
      <alignment/>
      <protection/>
    </xf>
    <xf numFmtId="4" fontId="5" fillId="4" borderId="30" xfId="62" applyNumberFormat="1" applyFont="1" applyFill="1" applyBorder="1" applyAlignment="1" applyProtection="1">
      <alignment horizontal="right"/>
      <protection locked="0"/>
    </xf>
    <xf numFmtId="0" fontId="5" fillId="0" borderId="63" xfId="62" applyFont="1" applyFill="1" applyBorder="1" applyAlignment="1">
      <alignment/>
      <protection/>
    </xf>
    <xf numFmtId="39" fontId="8" fillId="24" borderId="0" xfId="62" applyNumberFormat="1" applyFont="1" applyFill="1" applyBorder="1" applyAlignment="1">
      <alignment horizontal="center"/>
      <protection/>
    </xf>
    <xf numFmtId="0" fontId="5" fillId="24" borderId="0" xfId="62" applyFont="1" applyFill="1" applyBorder="1" applyAlignment="1">
      <alignment/>
      <protection/>
    </xf>
    <xf numFmtId="0" fontId="5" fillId="24" borderId="0" xfId="62" applyFont="1" applyFill="1" applyBorder="1">
      <alignment/>
      <protection/>
    </xf>
    <xf numFmtId="0" fontId="11" fillId="25" borderId="23" xfId="62" applyFont="1" applyFill="1" applyBorder="1">
      <alignment/>
      <protection/>
    </xf>
    <xf numFmtId="39" fontId="8" fillId="25" borderId="27" xfId="62" applyNumberFormat="1" applyFont="1" applyFill="1" applyBorder="1" applyAlignment="1">
      <alignment horizontal="center"/>
      <protection/>
    </xf>
    <xf numFmtId="0" fontId="5" fillId="25" borderId="27" xfId="62" applyFont="1" applyFill="1" applyBorder="1" applyAlignment="1">
      <alignment/>
      <protection/>
    </xf>
    <xf numFmtId="0" fontId="14" fillId="24" borderId="25" xfId="62" applyFont="1" applyFill="1" applyBorder="1" applyAlignment="1">
      <alignment/>
      <protection/>
    </xf>
    <xf numFmtId="4" fontId="5" fillId="24" borderId="64" xfId="62" applyNumberFormat="1" applyFont="1" applyFill="1" applyBorder="1" applyAlignment="1" applyProtection="1">
      <alignment horizontal="right"/>
      <protection locked="0"/>
    </xf>
    <xf numFmtId="0" fontId="5" fillId="0" borderId="65" xfId="62" applyFont="1" applyFill="1" applyBorder="1" applyAlignment="1">
      <alignment/>
      <protection/>
    </xf>
    <xf numFmtId="4" fontId="5" fillId="4" borderId="43" xfId="62" applyNumberFormat="1" applyFont="1" applyFill="1" applyBorder="1" applyAlignment="1" applyProtection="1">
      <alignment horizontal="right"/>
      <protection locked="0"/>
    </xf>
    <xf numFmtId="0" fontId="5" fillId="24" borderId="46" xfId="62" applyFont="1" applyFill="1" applyBorder="1" applyAlignment="1">
      <alignment/>
      <protection/>
    </xf>
    <xf numFmtId="0" fontId="13" fillId="25" borderId="0" xfId="62" applyFont="1" applyFill="1" applyBorder="1" applyAlignment="1">
      <alignment wrapText="1"/>
      <protection/>
    </xf>
    <xf numFmtId="0" fontId="19" fillId="24" borderId="0" xfId="62" applyFont="1" applyFill="1" applyBorder="1" applyAlignment="1">
      <alignment wrapText="1"/>
      <protection/>
    </xf>
    <xf numFmtId="0" fontId="13" fillId="24" borderId="0" xfId="62" applyFont="1" applyFill="1" applyBorder="1" applyAlignment="1">
      <alignment wrapText="1"/>
      <protection/>
    </xf>
    <xf numFmtId="0" fontId="13" fillId="0" borderId="0" xfId="62" applyFont="1" applyFill="1" applyBorder="1" applyAlignment="1">
      <alignment wrapText="1"/>
      <protection/>
    </xf>
    <xf numFmtId="0" fontId="5" fillId="24" borderId="25" xfId="62" applyFill="1" applyBorder="1">
      <alignment/>
      <protection/>
    </xf>
    <xf numFmtId="0" fontId="5" fillId="24" borderId="29" xfId="62" applyFill="1" applyBorder="1">
      <alignment/>
      <protection/>
    </xf>
    <xf numFmtId="39" fontId="8" fillId="24" borderId="24" xfId="62" applyNumberFormat="1" applyFont="1" applyFill="1" applyBorder="1">
      <alignment/>
      <protection/>
    </xf>
    <xf numFmtId="39" fontId="8" fillId="24" borderId="25" xfId="62" applyNumberFormat="1" applyFont="1" applyFill="1" applyBorder="1">
      <alignment/>
      <protection/>
    </xf>
    <xf numFmtId="39" fontId="8" fillId="24" borderId="31" xfId="62" applyNumberFormat="1" applyFont="1" applyFill="1" applyBorder="1">
      <alignment/>
      <protection/>
    </xf>
    <xf numFmtId="39" fontId="8" fillId="24" borderId="64" xfId="62" applyNumberFormat="1" applyFont="1" applyFill="1" applyBorder="1" applyAlignment="1">
      <alignment horizontal="center"/>
      <protection/>
    </xf>
    <xf numFmtId="39" fontId="8" fillId="24" borderId="32" xfId="62" applyNumberFormat="1" applyFont="1" applyFill="1" applyBorder="1">
      <alignment/>
      <protection/>
    </xf>
    <xf numFmtId="39" fontId="8" fillId="24" borderId="57" xfId="62" applyNumberFormat="1" applyFont="1" applyFill="1" applyBorder="1" applyAlignment="1">
      <alignment horizontal="center"/>
      <protection/>
    </xf>
    <xf numFmtId="0" fontId="5" fillId="24" borderId="65" xfId="62" applyFont="1" applyFill="1" applyBorder="1" applyAlignment="1">
      <alignment/>
      <protection/>
    </xf>
    <xf numFmtId="39" fontId="8" fillId="24" borderId="33" xfId="62" applyNumberFormat="1" applyFont="1" applyFill="1" applyBorder="1">
      <alignment/>
      <protection/>
    </xf>
    <xf numFmtId="39" fontId="8" fillId="24" borderId="55" xfId="62" applyNumberFormat="1" applyFont="1" applyFill="1" applyBorder="1" applyAlignment="1">
      <alignment horizontal="center"/>
      <protection/>
    </xf>
    <xf numFmtId="3" fontId="13" fillId="0" borderId="0" xfId="62" applyNumberFormat="1" applyFont="1" applyFill="1" applyBorder="1" applyAlignment="1">
      <alignment/>
      <protection/>
    </xf>
    <xf numFmtId="3" fontId="13" fillId="25" borderId="0" xfId="62" applyNumberFormat="1" applyFont="1" applyFill="1" applyAlignment="1">
      <alignment/>
      <protection/>
    </xf>
    <xf numFmtId="3" fontId="13" fillId="24" borderId="0" xfId="62" applyNumberFormat="1" applyFont="1" applyFill="1" applyAlignment="1">
      <alignment/>
      <protection/>
    </xf>
    <xf numFmtId="3" fontId="13" fillId="0" borderId="0" xfId="62" applyNumberFormat="1" applyFont="1" applyFill="1" applyAlignment="1">
      <alignment/>
      <protection/>
    </xf>
    <xf numFmtId="0" fontId="13" fillId="0" borderId="0" xfId="62" applyFont="1" applyFill="1" applyAlignment="1">
      <alignment horizontal="left"/>
      <protection/>
    </xf>
    <xf numFmtId="39" fontId="13" fillId="0" borderId="0" xfId="62" applyNumberFormat="1" applyFont="1" applyFill="1" applyBorder="1" applyAlignment="1">
      <alignment/>
      <protection/>
    </xf>
    <xf numFmtId="39" fontId="13" fillId="24" borderId="0" xfId="62" applyNumberFormat="1" applyFont="1" applyFill="1" applyBorder="1" applyAlignment="1">
      <alignment/>
      <protection/>
    </xf>
    <xf numFmtId="0" fontId="5" fillId="0" borderId="0" xfId="65" applyProtection="1">
      <alignment/>
      <protection/>
    </xf>
    <xf numFmtId="0" fontId="30" fillId="20" borderId="66" xfId="65" applyFont="1" applyFill="1" applyBorder="1" applyAlignment="1">
      <alignment wrapText="1"/>
      <protection/>
    </xf>
    <xf numFmtId="0" fontId="5" fillId="20" borderId="66" xfId="65" applyFill="1" applyBorder="1">
      <alignment/>
      <protection/>
    </xf>
    <xf numFmtId="0" fontId="8" fillId="20" borderId="66" xfId="18" applyFont="1" applyFill="1" applyBorder="1" applyAlignment="1">
      <alignment horizontal="center" textRotation="90"/>
      <protection/>
    </xf>
    <xf numFmtId="0" fontId="8" fillId="20" borderId="66" xfId="16" applyFont="1" applyFill="1" applyBorder="1" applyAlignment="1">
      <alignment horizontal="center" textRotation="90"/>
      <protection/>
    </xf>
    <xf numFmtId="0" fontId="8" fillId="8" borderId="66" xfId="65" applyFont="1" applyFill="1" applyBorder="1">
      <alignment/>
      <protection/>
    </xf>
    <xf numFmtId="0" fontId="5" fillId="8" borderId="66" xfId="65" applyFill="1" applyBorder="1">
      <alignment/>
      <protection/>
    </xf>
    <xf numFmtId="0" fontId="5" fillId="0" borderId="0" xfId="65">
      <alignment/>
      <protection/>
    </xf>
    <xf numFmtId="1" fontId="5" fillId="0" borderId="0" xfId="65" applyNumberFormat="1">
      <alignment/>
      <protection/>
    </xf>
    <xf numFmtId="166" fontId="13" fillId="0" borderId="0" xfId="49" applyNumberFormat="1" applyFont="1" applyFill="1" applyAlignment="1">
      <alignment/>
    </xf>
    <xf numFmtId="166" fontId="5" fillId="4" borderId="0" xfId="49" applyNumberFormat="1" applyFont="1" applyFill="1" applyBorder="1" applyAlignment="1">
      <alignment/>
    </xf>
    <xf numFmtId="0" fontId="5" fillId="0" borderId="0" xfId="16" applyFont="1">
      <alignment/>
      <protection/>
    </xf>
    <xf numFmtId="0" fontId="31" fillId="0" borderId="0" xfId="16" applyFont="1">
      <alignment/>
      <protection/>
    </xf>
    <xf numFmtId="0" fontId="5" fillId="0" borderId="0" xfId="65" applyFill="1">
      <alignment/>
      <protection/>
    </xf>
    <xf numFmtId="172" fontId="13" fillId="0" borderId="0" xfId="49" applyNumberFormat="1" applyFont="1" applyFill="1" applyAlignment="1">
      <alignment/>
    </xf>
    <xf numFmtId="173" fontId="0" fillId="4" borderId="0" xfId="16" applyNumberFormat="1" applyFont="1" applyFill="1" applyBorder="1">
      <alignment/>
      <protection/>
    </xf>
    <xf numFmtId="0" fontId="0" fillId="4" borderId="0" xfId="16" applyFont="1" applyFill="1" applyBorder="1">
      <alignment/>
      <protection/>
    </xf>
    <xf numFmtId="166" fontId="5" fillId="4" borderId="0" xfId="49" applyNumberFormat="1" applyFont="1" applyFill="1" applyAlignment="1">
      <alignment/>
    </xf>
    <xf numFmtId="0" fontId="31" fillId="0" borderId="0" xfId="16" applyFont="1" applyFill="1">
      <alignment/>
      <protection/>
    </xf>
    <xf numFmtId="166" fontId="5" fillId="0" borderId="0" xfId="49" applyNumberFormat="1" applyFont="1" applyFill="1" applyAlignment="1">
      <alignment/>
    </xf>
    <xf numFmtId="10" fontId="5" fillId="7" borderId="0" xfId="65" applyNumberFormat="1" applyFill="1">
      <alignment/>
      <protection/>
    </xf>
    <xf numFmtId="10" fontId="5" fillId="0" borderId="0" xfId="65" applyNumberFormat="1" applyFill="1">
      <alignment/>
      <protection/>
    </xf>
    <xf numFmtId="166" fontId="13" fillId="0" borderId="0" xfId="65" applyNumberFormat="1" applyFont="1" applyFill="1">
      <alignment/>
      <protection/>
    </xf>
    <xf numFmtId="166" fontId="5" fillId="22" borderId="0" xfId="49" applyNumberFormat="1" applyFont="1" applyFill="1" applyAlignment="1">
      <alignment/>
    </xf>
    <xf numFmtId="10" fontId="5" fillId="7" borderId="0" xfId="61" applyNumberFormat="1" applyFont="1" applyFill="1" applyAlignment="1">
      <alignment/>
    </xf>
    <xf numFmtId="10" fontId="5" fillId="0" borderId="0" xfId="61" applyNumberFormat="1" applyFont="1" applyFill="1" applyAlignment="1">
      <alignment/>
    </xf>
    <xf numFmtId="0" fontId="8" fillId="0" borderId="0" xfId="65" applyFont="1">
      <alignment/>
      <protection/>
    </xf>
    <xf numFmtId="0" fontId="5" fillId="0" borderId="0" xfId="65" applyFont="1">
      <alignment/>
      <protection/>
    </xf>
    <xf numFmtId="166" fontId="5" fillId="7" borderId="0" xfId="49" applyNumberFormat="1" applyFill="1" applyAlignment="1">
      <alignment/>
    </xf>
    <xf numFmtId="0" fontId="5" fillId="0" borderId="0" xfId="16" applyFont="1" applyFill="1">
      <alignment/>
      <protection/>
    </xf>
    <xf numFmtId="0" fontId="5" fillId="24" borderId="0" xfId="65" applyNumberFormat="1" applyFont="1" applyFill="1" applyBorder="1" applyAlignment="1">
      <alignment vertical="top"/>
      <protection/>
    </xf>
    <xf numFmtId="166" fontId="5" fillId="22" borderId="0" xfId="65" applyNumberFormat="1" applyFill="1">
      <alignment/>
      <protection/>
    </xf>
    <xf numFmtId="166" fontId="5" fillId="26" borderId="0" xfId="65" applyNumberFormat="1" applyFill="1">
      <alignment/>
      <protection/>
    </xf>
    <xf numFmtId="166" fontId="5" fillId="0" borderId="0" xfId="65" applyNumberFormat="1">
      <alignment/>
      <protection/>
    </xf>
    <xf numFmtId="9" fontId="5" fillId="0" borderId="0" xfId="61" applyFill="1" applyAlignment="1">
      <alignment/>
    </xf>
    <xf numFmtId="167" fontId="13" fillId="0" borderId="0" xfId="61" applyNumberFormat="1" applyFont="1" applyFill="1" applyAlignment="1">
      <alignment/>
    </xf>
    <xf numFmtId="0" fontId="8" fillId="8" borderId="66" xfId="16" applyFont="1" applyFill="1" applyBorder="1">
      <alignment/>
      <protection/>
    </xf>
    <xf numFmtId="0" fontId="1" fillId="8" borderId="66" xfId="16" applyFont="1" applyFill="1" applyBorder="1">
      <alignment/>
      <protection/>
    </xf>
    <xf numFmtId="0" fontId="8" fillId="0" borderId="0" xfId="16" applyFont="1" applyFill="1" applyBorder="1">
      <alignment/>
      <protection/>
    </xf>
    <xf numFmtId="0" fontId="1" fillId="0" borderId="0" xfId="16" applyFont="1" applyFill="1" applyBorder="1">
      <alignment/>
      <protection/>
    </xf>
    <xf numFmtId="0" fontId="8" fillId="0" borderId="0" xfId="16" applyFont="1">
      <alignment/>
      <protection/>
    </xf>
    <xf numFmtId="0" fontId="1" fillId="4" borderId="0" xfId="16" applyFont="1" applyFill="1" applyBorder="1">
      <alignment/>
      <protection/>
    </xf>
    <xf numFmtId="0" fontId="32" fillId="0" borderId="0" xfId="16" applyFont="1" applyFill="1" applyBorder="1">
      <alignment/>
      <protection/>
    </xf>
    <xf numFmtId="0" fontId="8" fillId="0" borderId="0" xfId="16" applyFont="1" applyFill="1">
      <alignment/>
      <protection/>
    </xf>
    <xf numFmtId="166" fontId="1" fillId="4" borderId="0" xfId="49" applyNumberFormat="1" applyFont="1" applyFill="1" applyBorder="1" applyAlignment="1">
      <alignment/>
    </xf>
    <xf numFmtId="166" fontId="1" fillId="4" borderId="0" xfId="16" applyNumberFormat="1" applyFont="1" applyFill="1" applyBorder="1">
      <alignment/>
      <protection/>
    </xf>
    <xf numFmtId="0" fontId="33" fillId="0" borderId="0" xfId="16" applyFont="1" applyFill="1" applyBorder="1">
      <alignment/>
      <protection/>
    </xf>
    <xf numFmtId="0" fontId="1" fillId="0" borderId="0" xfId="16" applyFont="1">
      <alignment/>
      <protection/>
    </xf>
    <xf numFmtId="2" fontId="1" fillId="22" borderId="0" xfId="16" applyNumberFormat="1" applyFont="1" applyFill="1">
      <alignment/>
      <protection/>
    </xf>
    <xf numFmtId="2" fontId="1" fillId="0" borderId="0" xfId="16" applyNumberFormat="1" applyFont="1" applyFill="1">
      <alignment/>
      <protection/>
    </xf>
    <xf numFmtId="2" fontId="33" fillId="0" borderId="0" xfId="16" applyNumberFormat="1" applyFont="1" applyFill="1">
      <alignment/>
      <protection/>
    </xf>
    <xf numFmtId="0" fontId="1" fillId="0" borderId="0" xfId="16" applyFont="1" applyFill="1">
      <alignment/>
      <protection/>
    </xf>
    <xf numFmtId="0" fontId="33" fillId="0" borderId="0" xfId="16" applyFont="1" applyFill="1">
      <alignment/>
      <protection/>
    </xf>
    <xf numFmtId="166" fontId="0" fillId="0" borderId="0" xfId="49" applyNumberFormat="1" applyFont="1" applyFill="1" applyAlignment="1">
      <alignment/>
    </xf>
    <xf numFmtId="166" fontId="1" fillId="22" borderId="0" xfId="16" applyNumberFormat="1" applyFont="1" applyFill="1">
      <alignment/>
      <protection/>
    </xf>
    <xf numFmtId="0" fontId="33" fillId="0" borderId="0" xfId="16" applyFont="1">
      <alignment/>
      <protection/>
    </xf>
    <xf numFmtId="166" fontId="1" fillId="0" borderId="0" xfId="16" applyNumberFormat="1" applyFont="1" applyFill="1">
      <alignment/>
      <protection/>
    </xf>
    <xf numFmtId="166" fontId="1" fillId="26" borderId="0" xfId="16" applyNumberFormat="1" applyFont="1" applyFill="1">
      <alignment/>
      <protection/>
    </xf>
    <xf numFmtId="0" fontId="29" fillId="0" borderId="0" xfId="65" applyFont="1" applyFill="1">
      <alignment/>
      <protection/>
    </xf>
    <xf numFmtId="0" fontId="0" fillId="0" borderId="10" xfId="0" applyFill="1" applyBorder="1" applyAlignment="1">
      <alignment/>
    </xf>
    <xf numFmtId="166" fontId="0" fillId="0" borderId="0" xfId="60" applyNumberFormat="1" applyFont="1" applyAlignment="1">
      <alignment/>
    </xf>
    <xf numFmtId="174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34" fillId="0" borderId="0" xfId="0" applyNumberFormat="1" applyFont="1" applyBorder="1" applyAlignment="1">
      <alignment/>
    </xf>
    <xf numFmtId="175" fontId="0" fillId="0" borderId="0" xfId="60" applyNumberFormat="1" applyFont="1" applyAlignment="1">
      <alignment/>
    </xf>
    <xf numFmtId="174" fontId="21" fillId="0" borderId="0" xfId="0" applyNumberFormat="1" applyFont="1" applyAlignment="1">
      <alignment/>
    </xf>
    <xf numFmtId="39" fontId="8" fillId="0" borderId="26" xfId="62" applyNumberFormat="1" applyFont="1" applyFill="1" applyBorder="1" applyAlignment="1">
      <alignment horizontal="left" wrapText="1"/>
      <protection/>
    </xf>
    <xf numFmtId="39" fontId="8" fillId="0" borderId="30" xfId="62" applyNumberFormat="1" applyFont="1" applyFill="1" applyBorder="1" applyAlignment="1">
      <alignment horizontal="left" wrapText="1"/>
      <protection/>
    </xf>
    <xf numFmtId="39" fontId="8" fillId="0" borderId="44" xfId="62" applyNumberFormat="1" applyFont="1" applyFill="1" applyBorder="1" applyAlignment="1">
      <alignment horizontal="left" wrapText="1"/>
      <protection/>
    </xf>
    <xf numFmtId="0" fontId="8" fillId="0" borderId="26" xfId="62" applyFont="1" applyFill="1" applyBorder="1" applyAlignment="1">
      <alignment horizontal="left"/>
      <protection/>
    </xf>
    <xf numFmtId="0" fontId="8" fillId="0" borderId="30" xfId="62" applyFont="1" applyFill="1" applyBorder="1" applyAlignment="1">
      <alignment horizontal="left"/>
      <protection/>
    </xf>
    <xf numFmtId="0" fontId="8" fillId="0" borderId="44" xfId="62" applyFont="1" applyFill="1" applyBorder="1" applyAlignment="1">
      <alignment horizontal="left"/>
      <protection/>
    </xf>
    <xf numFmtId="39" fontId="8" fillId="0" borderId="25" xfId="62" applyNumberFormat="1" applyFont="1" applyFill="1" applyBorder="1" applyAlignment="1">
      <alignment horizontal="left" wrapText="1"/>
      <protection/>
    </xf>
    <xf numFmtId="39" fontId="8" fillId="0" borderId="29" xfId="62" applyNumberFormat="1" applyFont="1" applyFill="1" applyBorder="1" applyAlignment="1">
      <alignment horizontal="left" wrapText="1"/>
      <protection/>
    </xf>
    <xf numFmtId="39" fontId="8" fillId="0" borderId="42" xfId="62" applyNumberFormat="1" applyFont="1" applyFill="1" applyBorder="1" applyAlignment="1">
      <alignment horizontal="left" wrapText="1"/>
      <protection/>
    </xf>
  </cellXfs>
  <cellStyles count="60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&#13;&#10;JournalTemplate=C:\COMFO\CTALK\JOURSTD.TPL&#13;&#10;LbStateAddress=3 3 0 251 1 89 2 311&#13;&#10;LbStateJou_100907 Kapitaalkosten v6.4 INTERN" xfId="17"/>
    <cellStyle name="&#13;&#10;JournalTemplate=C:\COMFO\CTALK\JOURSTD.TPL&#13;&#10;LbStateAddress=3 3 0 251 1 89 2 311&#13;&#10;LbStateJou_20120516 - TI-berekening 2013 Elektriciteit (concept) opm HK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erekening" xfId="43"/>
    <cellStyle name="Controlecel" xfId="44"/>
    <cellStyle name="Euro" xfId="45"/>
    <cellStyle name="Gekoppelde cel" xfId="46"/>
    <cellStyle name="Goed" xfId="47"/>
    <cellStyle name="Invoer" xfId="48"/>
    <cellStyle name="Comma" xfId="49"/>
    <cellStyle name="Comma [0]" xfId="50"/>
    <cellStyle name="Kop 1" xfId="51"/>
    <cellStyle name="Kop 2" xfId="52"/>
    <cellStyle name="Kop 3" xfId="53"/>
    <cellStyle name="Kop 4" xfId="54"/>
    <cellStyle name="Neutraal" xfId="55"/>
    <cellStyle name="Normal_# klanten" xfId="56"/>
    <cellStyle name="Normal_Data_2_wrm1_30" xfId="57"/>
    <cellStyle name="Notitie" xfId="58"/>
    <cellStyle name="Ongeldig" xfId="59"/>
    <cellStyle name="Percent" xfId="60"/>
    <cellStyle name="Procent 2" xfId="61"/>
    <cellStyle name="Standaard 2" xfId="62"/>
    <cellStyle name="Standaard_103133 20090924 GAW model vMG" xfId="63"/>
    <cellStyle name="Standaard_103133 20091117 NG-GA-GAW-09-11 GAW Invulsheet" xfId="64"/>
    <cellStyle name="Standaard_20120516 - TI-berekening 2013 Elektriciteit (concept) opm HK" xfId="65"/>
    <cellStyle name="Standaard_Tabellen - CIV2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ering\Regulering\2010\Methodebesluit%20Gas\103224%20Berekening%20kapitaalkosten_tcm7-1397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4300.DNWB\Local%20Settings\Temporary%20Internet%20Files\Content.Outlook\8XC29HDT\103222%2020100706%20Rekenmodule%20start-GAW%20gasaansluiting_tcm7-139780%20incl%20onderverdelin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xas\ek\Afdelingsdata%20DREV\07%20DN\Administratie%20Totale%20Inkomsten%20RNBs\03.%20TI%20administratie%20Gas\2.%20TI-recht\NG3R%20-%202009\TI-recht%202009%20REND%20-%20x-factoren%20NG3R%20na%20bob%20Ren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TE\ALGEMEEN\Tarieven\Tarieven%202002%20netbeheerders\AuditMod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8%20Netten\02%20Persoon\Groot\_Backup\Database\Basismodel%20CB%20NE\CB%20met%20activawaarde%20dte\Kopie%20van%20030205%20X_CB%20NE%20DEA%20Model%20CB%20met%20activawaarde%20d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ma.nl/images/103636_Gewijzigd_rekenmodel_x-factor_en_rekenvolumina22-14668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xas\ek\07%20DN\103221%20NE5R%20(vanaf%202011)\13%20Data%20en%20berekeningen\Kapitaalkosten\100913%20Kapitaalkosten%20v6.5%20INTER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4300\AppData\Local\Microsoft\Windows\Temporary%20Internet%20Files\Content.Outlook\BNPAL2GO\Kopie%20van%2020120907%20-%20TI-berekening%202013%20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Kapitaalkosten"/>
      <sheetName val="Data E"/>
      <sheetName val="Data G"/>
      <sheetName val="Kapitaalkosten Gasaansluiting"/>
      <sheetName val="Data Gasaansluiting"/>
      <sheetName val="CPI en WACC"/>
      <sheetName val="Netbeheerders"/>
    </sheetNames>
    <sheetDataSet>
      <sheetData sheetId="1">
        <row r="1">
          <cell r="C1" t="str">
            <v>RENDO</v>
          </cell>
        </row>
        <row r="2">
          <cell r="C2" t="str">
            <v>G</v>
          </cell>
        </row>
      </sheetData>
      <sheetData sheetId="4">
        <row r="1">
          <cell r="C1" t="str">
            <v>COGAS</v>
          </cell>
        </row>
      </sheetData>
      <sheetData sheetId="6">
        <row r="6">
          <cell r="C6" t="str">
            <v>CPI</v>
          </cell>
          <cell r="D6" t="str">
            <v>WACC</v>
          </cell>
        </row>
        <row r="7">
          <cell r="B7">
            <v>2001</v>
          </cell>
          <cell r="C7">
            <v>0.025</v>
          </cell>
          <cell r="D7">
            <v>0.068</v>
          </cell>
        </row>
        <row r="8">
          <cell r="B8">
            <v>2002</v>
          </cell>
          <cell r="C8">
            <v>0.047</v>
          </cell>
          <cell r="D8">
            <v>0.068</v>
          </cell>
        </row>
        <row r="9">
          <cell r="B9">
            <v>2003</v>
          </cell>
          <cell r="C9">
            <v>0.033</v>
          </cell>
          <cell r="D9">
            <v>0.068</v>
          </cell>
        </row>
        <row r="10">
          <cell r="B10">
            <v>2004</v>
          </cell>
          <cell r="C10">
            <v>0.021</v>
          </cell>
          <cell r="D10">
            <v>0.068</v>
          </cell>
        </row>
        <row r="11">
          <cell r="B11">
            <v>2005</v>
          </cell>
          <cell r="C11">
            <v>0.011</v>
          </cell>
          <cell r="D11">
            <v>0.068</v>
          </cell>
        </row>
        <row r="12">
          <cell r="B12">
            <v>2006</v>
          </cell>
          <cell r="C12">
            <v>0.018</v>
          </cell>
          <cell r="D12">
            <v>0.068</v>
          </cell>
        </row>
        <row r="13">
          <cell r="B13">
            <v>2007</v>
          </cell>
          <cell r="C13">
            <v>0.014</v>
          </cell>
          <cell r="D13">
            <v>0.068</v>
          </cell>
        </row>
        <row r="14">
          <cell r="B14">
            <v>2008</v>
          </cell>
          <cell r="C14">
            <v>0.011</v>
          </cell>
          <cell r="D14">
            <v>0.055</v>
          </cell>
        </row>
        <row r="15">
          <cell r="B15">
            <v>2009</v>
          </cell>
          <cell r="C15">
            <v>0.032</v>
          </cell>
          <cell r="D15">
            <v>0.055</v>
          </cell>
        </row>
        <row r="16">
          <cell r="B16">
            <v>2010</v>
          </cell>
          <cell r="C16">
            <v>0.003</v>
          </cell>
          <cell r="D16">
            <v>0.055</v>
          </cell>
        </row>
        <row r="17">
          <cell r="B17">
            <v>2011</v>
          </cell>
          <cell r="D17">
            <v>0.062</v>
          </cell>
        </row>
        <row r="18">
          <cell r="B18">
            <v>2012</v>
          </cell>
          <cell r="D18">
            <v>0.062</v>
          </cell>
        </row>
        <row r="19">
          <cell r="B19">
            <v>2013</v>
          </cell>
          <cell r="D19">
            <v>0.062</v>
          </cell>
        </row>
        <row r="20">
          <cell r="B20">
            <v>2014</v>
          </cell>
          <cell r="D20">
            <v>0</v>
          </cell>
        </row>
        <row r="21">
          <cell r="B21">
            <v>2015</v>
          </cell>
          <cell r="D21">
            <v>0</v>
          </cell>
        </row>
        <row r="22">
          <cell r="B22">
            <v>2016</v>
          </cell>
          <cell r="D22">
            <v>0</v>
          </cell>
        </row>
        <row r="23">
          <cell r="B23">
            <v>2017</v>
          </cell>
          <cell r="D23">
            <v>0</v>
          </cell>
        </row>
        <row r="24">
          <cell r="B24">
            <v>2018</v>
          </cell>
          <cell r="D24">
            <v>0</v>
          </cell>
        </row>
        <row r="25">
          <cell r="B25">
            <v>2019</v>
          </cell>
          <cell r="D25">
            <v>0</v>
          </cell>
        </row>
        <row r="26">
          <cell r="B26">
            <v>2020</v>
          </cell>
          <cell r="D26">
            <v>0</v>
          </cell>
        </row>
        <row r="31">
          <cell r="C31">
            <v>0.025</v>
          </cell>
        </row>
        <row r="32">
          <cell r="C32">
            <v>0.07317499999999977</v>
          </cell>
          <cell r="D32">
            <v>0.047</v>
          </cell>
        </row>
        <row r="33">
          <cell r="C33">
            <v>0.10858977499999978</v>
          </cell>
          <cell r="D33">
            <v>0.08155099999999993</v>
          </cell>
          <cell r="E33">
            <v>0.033</v>
          </cell>
        </row>
        <row r="34">
          <cell r="C34">
            <v>0.13187016027499965</v>
          </cell>
          <cell r="D34">
            <v>0.10426357099999972</v>
          </cell>
          <cell r="E34">
            <v>0.05469299999999988</v>
          </cell>
          <cell r="F34">
            <v>0.021</v>
          </cell>
        </row>
        <row r="35">
          <cell r="C35">
            <v>0.14432073203802442</v>
          </cell>
          <cell r="D35">
            <v>0.1164104702809996</v>
          </cell>
          <cell r="E35">
            <v>0.06629462299999966</v>
          </cell>
          <cell r="F35">
            <v>0.0322309999999999</v>
          </cell>
          <cell r="G35">
            <v>0.011</v>
          </cell>
        </row>
        <row r="36">
          <cell r="C36">
            <v>0.16491850521470885</v>
          </cell>
          <cell r="D36">
            <v>0.1365058587460577</v>
          </cell>
          <cell r="E36">
            <v>0.08548792621399959</v>
          </cell>
          <cell r="F36">
            <v>0.05081115799999991</v>
          </cell>
          <cell r="G36">
            <v>0.029197999999999835</v>
          </cell>
          <cell r="H36">
            <v>0.018</v>
          </cell>
        </row>
        <row r="37">
          <cell r="C37">
            <v>0.1812273642877147</v>
          </cell>
          <cell r="D37">
            <v>0.15241694076850254</v>
          </cell>
          <cell r="E37">
            <v>0.10068475718099568</v>
          </cell>
          <cell r="F37">
            <v>0.06552251421199995</v>
          </cell>
          <cell r="G37">
            <v>0.04360677199999974</v>
          </cell>
          <cell r="H37">
            <v>0.03225199999999995</v>
          </cell>
          <cell r="I37">
            <v>0.014</v>
          </cell>
        </row>
        <row r="38">
          <cell r="C38">
            <v>0.19422086529487936</v>
          </cell>
          <cell r="D38">
            <v>0.16509352711695602</v>
          </cell>
          <cell r="E38">
            <v>0.11279228950998643</v>
          </cell>
          <cell r="F38">
            <v>0.07724326186833186</v>
          </cell>
          <cell r="G38">
            <v>0.05508644649199956</v>
          </cell>
          <cell r="H38">
            <v>0.04360677199999974</v>
          </cell>
          <cell r="I38">
            <v>0.0251539999999999</v>
          </cell>
          <cell r="J38">
            <v>0.011</v>
          </cell>
        </row>
        <row r="39">
          <cell r="C39">
            <v>0.23243593298431553</v>
          </cell>
          <cell r="D39">
            <v>0.20237651998469874</v>
          </cell>
          <cell r="E39">
            <v>0.148401642774306</v>
          </cell>
          <cell r="F39">
            <v>0.11171504624811845</v>
          </cell>
          <cell r="G39">
            <v>0.08884921277974356</v>
          </cell>
          <cell r="H39">
            <v>0.07700218870399977</v>
          </cell>
          <cell r="I39">
            <v>0.05795892799999991</v>
          </cell>
          <cell r="J39">
            <v>0.043351999999999835</v>
          </cell>
          <cell r="K39">
            <v>0.032</v>
          </cell>
        </row>
        <row r="40">
          <cell r="C40">
            <v>0.23613324078326836</v>
          </cell>
          <cell r="D40">
            <v>0.20598364954465276</v>
          </cell>
          <cell r="E40">
            <v>0.1518468477026289</v>
          </cell>
          <cell r="F40">
            <v>0.11505019138686268</v>
          </cell>
          <cell r="G40">
            <v>0.09211576041808267</v>
          </cell>
          <cell r="H40">
            <v>0.08023319527011163</v>
          </cell>
          <cell r="I40">
            <v>0.06113280478399985</v>
          </cell>
          <cell r="J40">
            <v>0.04648205599999966</v>
          </cell>
          <cell r="K40">
            <v>0.035096000000000016</v>
          </cell>
          <cell r="L40">
            <v>0.003</v>
          </cell>
        </row>
        <row r="41">
          <cell r="C41">
            <v>0.23613324078326836</v>
          </cell>
          <cell r="D41">
            <v>0.20598364954465276</v>
          </cell>
          <cell r="E41">
            <v>0.1518468477026289</v>
          </cell>
          <cell r="F41">
            <v>0.11505019138686268</v>
          </cell>
          <cell r="G41">
            <v>0.09211576041808267</v>
          </cell>
          <cell r="H41">
            <v>0.08023319527011163</v>
          </cell>
          <cell r="I41">
            <v>0.06113280478399985</v>
          </cell>
          <cell r="J41">
            <v>0.04648205599999966</v>
          </cell>
          <cell r="K41">
            <v>0.035096000000000016</v>
          </cell>
          <cell r="L41">
            <v>0.0029999999999998916</v>
          </cell>
          <cell r="M41">
            <v>0</v>
          </cell>
        </row>
        <row r="42">
          <cell r="C42">
            <v>0.23613324078326836</v>
          </cell>
          <cell r="D42">
            <v>0.20598364954465276</v>
          </cell>
          <cell r="E42">
            <v>0.1518468477026289</v>
          </cell>
          <cell r="F42">
            <v>0.11505019138686268</v>
          </cell>
          <cell r="G42">
            <v>0.09211576041808267</v>
          </cell>
          <cell r="H42">
            <v>0.08023319527011163</v>
          </cell>
          <cell r="I42">
            <v>0.06113280478399985</v>
          </cell>
          <cell r="J42">
            <v>0.04648205599999966</v>
          </cell>
          <cell r="K42">
            <v>0.035096000000000016</v>
          </cell>
          <cell r="L42">
            <v>0.0029999999999998916</v>
          </cell>
          <cell r="M42">
            <v>0</v>
          </cell>
          <cell r="N42">
            <v>0</v>
          </cell>
        </row>
        <row r="43">
          <cell r="C43">
            <v>0.23613324078326836</v>
          </cell>
          <cell r="D43">
            <v>0.20598364954465276</v>
          </cell>
          <cell r="E43">
            <v>0.1518468477026289</v>
          </cell>
          <cell r="F43">
            <v>0.11505019138686268</v>
          </cell>
          <cell r="G43">
            <v>0.09211576041808267</v>
          </cell>
          <cell r="H43">
            <v>0.08023319527011163</v>
          </cell>
          <cell r="I43">
            <v>0.06113280478399985</v>
          </cell>
          <cell r="J43">
            <v>0.04648205599999966</v>
          </cell>
          <cell r="K43">
            <v>0.035096000000000016</v>
          </cell>
          <cell r="L43">
            <v>0.0029999999999998916</v>
          </cell>
          <cell r="M43">
            <v>0</v>
          </cell>
          <cell r="N43">
            <v>0</v>
          </cell>
          <cell r="O43">
            <v>0</v>
          </cell>
        </row>
      </sheetData>
      <sheetData sheetId="7">
        <row r="2">
          <cell r="B2" t="str">
            <v>ALLE</v>
          </cell>
        </row>
        <row r="3">
          <cell r="B3" t="str">
            <v>MOSA</v>
          </cell>
        </row>
        <row r="4">
          <cell r="B4" t="str">
            <v>ONS</v>
          </cell>
        </row>
        <row r="5">
          <cell r="B5" t="str">
            <v>COGAS</v>
          </cell>
        </row>
        <row r="6">
          <cell r="B6" t="str">
            <v>DELTA</v>
          </cell>
        </row>
        <row r="7">
          <cell r="B7" t="str">
            <v>DELTA HS</v>
          </cell>
        </row>
        <row r="8">
          <cell r="B8" t="str">
            <v>DELTA EXCL HS</v>
          </cell>
        </row>
        <row r="9">
          <cell r="B9" t="str">
            <v>ENDINET</v>
          </cell>
        </row>
        <row r="10">
          <cell r="B10" t="str">
            <v>ENEXIS</v>
          </cell>
        </row>
        <row r="11">
          <cell r="B11" t="str">
            <v>ENEXIS HS</v>
          </cell>
        </row>
        <row r="12">
          <cell r="B12" t="str">
            <v>ENEXIS EXCL HS</v>
          </cell>
        </row>
        <row r="13">
          <cell r="B13" t="str">
            <v>HAARLEMMERMEER</v>
          </cell>
        </row>
        <row r="14">
          <cell r="B14" t="str">
            <v>INTERGAS</v>
          </cell>
        </row>
        <row r="15">
          <cell r="B15" t="str">
            <v>LIANDER</v>
          </cell>
        </row>
        <row r="16">
          <cell r="B16" t="str">
            <v>LIANDER HS</v>
          </cell>
        </row>
        <row r="17">
          <cell r="B17" t="str">
            <v>LIANDER EXCL HS</v>
          </cell>
        </row>
        <row r="18">
          <cell r="B18" t="str">
            <v>OBRAGAS</v>
          </cell>
        </row>
        <row r="19">
          <cell r="B19" t="str">
            <v>RENDO</v>
          </cell>
        </row>
        <row r="20">
          <cell r="B20" t="str">
            <v>STEDIN</v>
          </cell>
        </row>
        <row r="21">
          <cell r="B21" t="str">
            <v>WESTLAND</v>
          </cell>
        </row>
        <row r="22">
          <cell r="B22" t="str">
            <v>ZEBRA</v>
          </cell>
        </row>
        <row r="23">
          <cell r="B23" t="str">
            <v>SECTOR EXCL HS</v>
          </cell>
        </row>
        <row r="24">
          <cell r="B24" t="str">
            <v>SECTOR HS</v>
          </cell>
        </row>
        <row r="25">
          <cell r="B25" t="str">
            <v>SECTOR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Dashboard"/>
      <sheetName val="completeren data"/>
      <sheetName val="afschrijvingstermijn"/>
      <sheetName val="Cogas"/>
      <sheetName val="DNWB"/>
      <sheetName val="Enexis"/>
      <sheetName val="Haarlemmermeer"/>
      <sheetName val="Intergas"/>
      <sheetName val="Liander"/>
      <sheetName val="EndinetRE"/>
      <sheetName val="EndinetOB"/>
      <sheetName val="Rendo"/>
      <sheetName val="Stedin"/>
      <sheetName val="Westland"/>
      <sheetName val="Zebra"/>
    </sheetNames>
    <sheetDataSet>
      <sheetData sheetId="3">
        <row r="5">
          <cell r="C5">
            <v>39</v>
          </cell>
        </row>
        <row r="8">
          <cell r="C8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Nacalc LH2009 (REND)"/>
      <sheetName val="Lokale heffingen (LH)"/>
      <sheetName val="TI-recht 2009 (per heden)"/>
      <sheetName val="Vanaf hier oorspr. bestand --&gt; "/>
      <sheetName val="x-factor"/>
      <sheetName val="Eindinkomsten"/>
      <sheetName val="Productiviteit"/>
      <sheetName val="Kosten"/>
      <sheetName val="SO"/>
      <sheetName val="Sectortarieven"/>
      <sheetName val="Tarieven"/>
      <sheetName val="Rekenvol"/>
      <sheetName val="Volumes"/>
      <sheetName val="ORV"/>
      <sheetName val="CPI"/>
      <sheetName val="Graadda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>
        <row r="3">
          <cell r="E3">
            <v>0.05</v>
          </cell>
        </row>
        <row r="4">
          <cell r="E4">
            <v>0.066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 (2)"/>
      <sheetName val="constants"/>
      <sheetName val="Data"/>
      <sheetName val="Calc"/>
      <sheetName val="Results"/>
    </sheetNames>
    <sheetDataSet>
      <sheetData sheetId="1">
        <row r="3">
          <cell r="E3">
            <v>0.062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x-factor"/>
      <sheetName val="Eindinkomsten"/>
      <sheetName val="Productiviteit TD"/>
      <sheetName val="Kosten AD"/>
      <sheetName val="Kosten TD"/>
      <sheetName val="Vergoedingen AD"/>
      <sheetName val="SO"/>
      <sheetName val="Wegingsfactor TD"/>
      <sheetName val="Wegingsfactor AD"/>
      <sheetName val="Rekenvolumes"/>
      <sheetName val="Volumes"/>
      <sheetName val="ORV"/>
      <sheetName val="CPI&amp;WACC"/>
    </sheetNames>
    <sheetDataSet>
      <sheetData sheetId="13">
        <row r="14">
          <cell r="D14">
            <v>0.062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siebeheer"/>
      <sheetName val="Toelichting"/>
      <sheetName val="Kapitaalkosten"/>
      <sheetName val="Opm bij Data E"/>
      <sheetName val="Data E"/>
      <sheetName val="Data G"/>
      <sheetName val="Bronnen"/>
      <sheetName val="Kapitaalkosten NG3R en NE4R"/>
      <sheetName val="Overzicht netbeheerders"/>
      <sheetName val="Kapitaalkosten Gasaansluiting"/>
      <sheetName val="Data Gasaansluiting"/>
      <sheetName val="CPI en WACC"/>
      <sheetName val="Netbeheerders"/>
    </sheetNames>
    <sheetDataSet>
      <sheetData sheetId="11">
        <row r="6">
          <cell r="C6" t="str">
            <v>CPI</v>
          </cell>
          <cell r="D6" t="str">
            <v>WACC</v>
          </cell>
        </row>
        <row r="7">
          <cell r="B7">
            <v>2001</v>
          </cell>
          <cell r="C7">
            <v>0.025</v>
          </cell>
          <cell r="D7">
            <v>0.066</v>
          </cell>
        </row>
        <row r="8">
          <cell r="B8">
            <v>2002</v>
          </cell>
          <cell r="C8">
            <v>0.047</v>
          </cell>
          <cell r="D8">
            <v>0.066</v>
          </cell>
        </row>
        <row r="9">
          <cell r="B9">
            <v>2003</v>
          </cell>
          <cell r="C9">
            <v>0.033</v>
          </cell>
          <cell r="D9">
            <v>0.066</v>
          </cell>
        </row>
        <row r="10">
          <cell r="B10">
            <v>2004</v>
          </cell>
          <cell r="C10">
            <v>0.021</v>
          </cell>
          <cell r="D10">
            <v>0.066</v>
          </cell>
        </row>
        <row r="11">
          <cell r="B11">
            <v>2005</v>
          </cell>
          <cell r="C11">
            <v>0.011</v>
          </cell>
          <cell r="D11">
            <v>0.066</v>
          </cell>
        </row>
        <row r="12">
          <cell r="B12">
            <v>2006</v>
          </cell>
          <cell r="C12">
            <v>0.018</v>
          </cell>
          <cell r="D12">
            <v>0.066</v>
          </cell>
        </row>
        <row r="13">
          <cell r="B13">
            <v>2007</v>
          </cell>
          <cell r="C13">
            <v>0.014</v>
          </cell>
          <cell r="D13">
            <v>0.058</v>
          </cell>
        </row>
        <row r="14">
          <cell r="B14">
            <v>2008</v>
          </cell>
          <cell r="C14">
            <v>0.011</v>
          </cell>
          <cell r="D14">
            <v>0.055</v>
          </cell>
        </row>
        <row r="15">
          <cell r="B15">
            <v>2009</v>
          </cell>
          <cell r="C15">
            <v>0.032</v>
          </cell>
          <cell r="D15">
            <v>0.055</v>
          </cell>
        </row>
        <row r="16">
          <cell r="B16">
            <v>2010</v>
          </cell>
          <cell r="C16">
            <v>0.003</v>
          </cell>
          <cell r="D16">
            <v>0.055</v>
          </cell>
        </row>
        <row r="17">
          <cell r="B17">
            <v>2011</v>
          </cell>
          <cell r="D17">
            <v>0.062</v>
          </cell>
        </row>
        <row r="18">
          <cell r="B18">
            <v>2012</v>
          </cell>
          <cell r="D18">
            <v>0.062</v>
          </cell>
        </row>
        <row r="19">
          <cell r="B19">
            <v>2013</v>
          </cell>
          <cell r="D19">
            <v>0.062</v>
          </cell>
        </row>
        <row r="20">
          <cell r="B20">
            <v>2014</v>
          </cell>
          <cell r="D20">
            <v>0</v>
          </cell>
        </row>
        <row r="21">
          <cell r="B21">
            <v>2015</v>
          </cell>
          <cell r="D21">
            <v>0</v>
          </cell>
        </row>
        <row r="22">
          <cell r="B22">
            <v>2016</v>
          </cell>
          <cell r="D22">
            <v>0</v>
          </cell>
        </row>
        <row r="23">
          <cell r="B23">
            <v>2017</v>
          </cell>
          <cell r="D23">
            <v>0</v>
          </cell>
        </row>
        <row r="24">
          <cell r="B24">
            <v>2018</v>
          </cell>
          <cell r="D24">
            <v>0</v>
          </cell>
        </row>
        <row r="25">
          <cell r="B25">
            <v>2019</v>
          </cell>
          <cell r="D25">
            <v>0</v>
          </cell>
        </row>
        <row r="26">
          <cell r="B26">
            <v>2020</v>
          </cell>
          <cell r="D2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TI-berekening 2013"/>
      <sheetName val="Nacalculaties en correcties"/>
      <sheetName val="Nacalculaties --&gt;"/>
      <sheetName val="LH 2011"/>
      <sheetName val="DUBDEB 2013"/>
      <sheetName val="Heffingsrente"/>
      <sheetName val="CPI"/>
    </sheetNames>
    <sheetDataSet>
      <sheetData sheetId="2">
        <row r="19">
          <cell r="F19">
            <v>-308621.91999196913</v>
          </cell>
          <cell r="G19">
            <v>29629.785200140224</v>
          </cell>
          <cell r="H19">
            <v>0</v>
          </cell>
          <cell r="I19">
            <v>0</v>
          </cell>
          <cell r="J19">
            <v>-25890.49110014015</v>
          </cell>
          <cell r="K19">
            <v>1577035.3810538438</v>
          </cell>
          <cell r="L19">
            <v>-70633.44286670108</v>
          </cell>
          <cell r="M19">
            <v>-273773.0661292366</v>
          </cell>
          <cell r="N19">
            <v>0</v>
          </cell>
          <cell r="O19">
            <v>0</v>
          </cell>
        </row>
        <row r="20">
          <cell r="F20">
            <v>-108357.91199833773</v>
          </cell>
          <cell r="G20">
            <v>-137802.89852453323</v>
          </cell>
          <cell r="H20">
            <v>-293485.8045098127</v>
          </cell>
          <cell r="I20">
            <v>-1394077.8074711047</v>
          </cell>
          <cell r="J20">
            <v>-118926.36654313153</v>
          </cell>
          <cell r="K20">
            <v>-1622894.6422065566</v>
          </cell>
          <cell r="L20">
            <v>-89152.31999691731</v>
          </cell>
          <cell r="M20">
            <v>-1375785.8328529987</v>
          </cell>
          <cell r="N20">
            <v>-36371.9507332918</v>
          </cell>
          <cell r="O20">
            <v>0</v>
          </cell>
        </row>
      </sheetData>
      <sheetData sheetId="7">
        <row r="11">
          <cell r="C11">
            <v>0.015</v>
          </cell>
        </row>
        <row r="12">
          <cell r="C12">
            <v>0.026</v>
          </cell>
        </row>
        <row r="13">
          <cell r="C13">
            <v>0.023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PageLayoutView="0" workbookViewId="0" topLeftCell="A25">
      <selection activeCell="C10" sqref="C10"/>
    </sheetView>
  </sheetViews>
  <sheetFormatPr defaultColWidth="9.140625" defaultRowHeight="15"/>
  <cols>
    <col min="1" max="1" width="45.28125" style="0" bestFit="1" customWidth="1"/>
    <col min="2" max="2" width="19.8515625" style="0" customWidth="1"/>
    <col min="3" max="3" width="23.7109375" style="0" customWidth="1"/>
    <col min="4" max="4" width="36.8515625" style="0" customWidth="1"/>
    <col min="5" max="5" width="35.140625" style="0" customWidth="1"/>
    <col min="6" max="7" width="13.421875" style="0" customWidth="1"/>
    <col min="11" max="11" width="12.00390625" style="0" customWidth="1"/>
    <col min="12" max="12" width="12.8515625" style="0" customWidth="1"/>
    <col min="13" max="13" width="17.421875" style="0" customWidth="1"/>
    <col min="14" max="14" width="13.00390625" style="0" customWidth="1"/>
    <col min="15" max="15" width="26.421875" style="0" customWidth="1"/>
    <col min="16" max="16" width="34.57421875" style="0" customWidth="1"/>
    <col min="18" max="18" width="9.57421875" style="0" bestFit="1" customWidth="1"/>
  </cols>
  <sheetData>
    <row r="1" spans="4:7" ht="15">
      <c r="D1" s="125" t="s">
        <v>132</v>
      </c>
      <c r="E1" s="126" t="s">
        <v>133</v>
      </c>
      <c r="F1" s="126" t="s">
        <v>134</v>
      </c>
      <c r="G1" s="126"/>
    </row>
    <row r="2" spans="1:7" ht="15">
      <c r="A2" s="198" t="s">
        <v>120</v>
      </c>
      <c r="B2" s="373">
        <v>2.3</v>
      </c>
      <c r="D2" s="133" t="s">
        <v>135</v>
      </c>
      <c r="E2" s="127">
        <f>SUMPRODUCT(B21:B31,C21:C31)+SUMPRODUCT(B59:B69,C59:C69)</f>
        <v>1388533.3699999996</v>
      </c>
      <c r="F2" s="127">
        <f>SUMPRODUCT(M21:M31,N21:N31)</f>
        <v>3720143.01</v>
      </c>
      <c r="G2" s="127"/>
    </row>
    <row r="3" spans="1:9" ht="15.75" thickBot="1">
      <c r="A3" s="198" t="s">
        <v>121</v>
      </c>
      <c r="B3" s="169">
        <v>8.6</v>
      </c>
      <c r="D3" s="133" t="s">
        <v>136</v>
      </c>
      <c r="E3" s="127">
        <f>SUMPRODUCT(B26:B29,C26:C29)+SUMPRODUCT(B34:B56,C34:C56)</f>
        <v>50479.18</v>
      </c>
      <c r="F3" s="127">
        <f>SUMPRODUCT(M34:M56,N34:N56)</f>
        <v>128598.84</v>
      </c>
      <c r="G3" s="127"/>
      <c r="I3" s="138"/>
    </row>
    <row r="4" spans="1:7" ht="16.5" thickBot="1">
      <c r="A4" s="198"/>
      <c r="B4" s="169"/>
      <c r="D4" s="128"/>
      <c r="E4" s="128"/>
      <c r="F4" s="128"/>
      <c r="G4" s="131"/>
    </row>
    <row r="5" spans="1:7" ht="15.75">
      <c r="A5" s="198" t="s">
        <v>129</v>
      </c>
      <c r="B5" s="200">
        <f>(1+(B2-B3)/100)</f>
        <v>0.937</v>
      </c>
      <c r="D5" s="132"/>
      <c r="E5" s="132"/>
      <c r="F5" s="132"/>
      <c r="G5" s="132"/>
    </row>
    <row r="6" spans="1:7" ht="15">
      <c r="A6" s="198"/>
      <c r="B6" s="170"/>
      <c r="D6" s="125" t="s">
        <v>137</v>
      </c>
      <c r="E6" s="99"/>
      <c r="F6" s="99"/>
      <c r="G6" s="99"/>
    </row>
    <row r="7" spans="1:7" ht="15">
      <c r="A7" s="198" t="s">
        <v>151</v>
      </c>
      <c r="B7" s="171">
        <v>5287754.3999999985</v>
      </c>
      <c r="D7" s="133" t="s">
        <v>138</v>
      </c>
      <c r="E7" s="127">
        <f>Verschuiving!B22*1000</f>
        <v>174509.58669666454</v>
      </c>
      <c r="F7" s="127">
        <f>-E7</f>
        <v>-174509.58669666454</v>
      </c>
      <c r="G7" s="127"/>
    </row>
    <row r="8" spans="1:7" ht="15">
      <c r="A8" s="198"/>
      <c r="B8" s="171"/>
      <c r="D8" s="133" t="s">
        <v>139</v>
      </c>
      <c r="E8" s="127">
        <f>Verschuiving!B23*1000</f>
        <v>12686.587936874701</v>
      </c>
      <c r="F8" s="127">
        <f>-E8</f>
        <v>-12686.587936874701</v>
      </c>
      <c r="G8" s="127"/>
    </row>
    <row r="9" spans="1:7" ht="15">
      <c r="A9" s="199" t="s">
        <v>145</v>
      </c>
      <c r="B9" s="171">
        <f>(B7*(1+(B2-B3)/100))</f>
        <v>4954625.872799999</v>
      </c>
      <c r="D9" s="134"/>
      <c r="E9" s="134"/>
      <c r="F9" s="134"/>
      <c r="G9" s="129"/>
    </row>
    <row r="10" spans="1:7" ht="15">
      <c r="A10" s="198" t="s">
        <v>185</v>
      </c>
      <c r="B10" s="171">
        <v>-31726</v>
      </c>
      <c r="C10" s="374"/>
      <c r="D10" s="133" t="s">
        <v>140</v>
      </c>
      <c r="F10" s="99"/>
      <c r="G10" s="99"/>
    </row>
    <row r="11" spans="1:7" ht="15">
      <c r="A11" s="198"/>
      <c r="B11" s="169"/>
      <c r="D11" s="133" t="s">
        <v>138</v>
      </c>
      <c r="E11" s="130">
        <f>(E2+E7)/E2</f>
        <v>1.1256790729463453</v>
      </c>
      <c r="F11" s="130">
        <f>(F2+F7)/F2</f>
        <v>0.9530906241433271</v>
      </c>
      <c r="G11" s="130"/>
    </row>
    <row r="12" spans="1:7" ht="15">
      <c r="A12" s="199" t="s">
        <v>130</v>
      </c>
      <c r="B12" s="187">
        <f>(B9+B10)/B7</f>
        <v>0.9310000995507659</v>
      </c>
      <c r="D12" s="133" t="s">
        <v>139</v>
      </c>
      <c r="E12" s="130">
        <f>(E3+E8)/E3</f>
        <v>1.251323177929489</v>
      </c>
      <c r="F12" s="130">
        <f>(F3+F8)/F3</f>
        <v>0.9013475709666222</v>
      </c>
      <c r="G12" s="130"/>
    </row>
    <row r="13" spans="1:2" ht="15">
      <c r="A13" s="198"/>
      <c r="B13" s="169"/>
    </row>
    <row r="14" spans="1:16" ht="15">
      <c r="A14" s="198" t="s">
        <v>141</v>
      </c>
      <c r="B14" s="172">
        <f>'TI-berekening 2013'!H48</f>
        <v>4935000</v>
      </c>
      <c r="C14" s="201"/>
      <c r="P14" s="140"/>
    </row>
    <row r="15" spans="1:16" ht="13.5" customHeight="1">
      <c r="A15" s="198" t="s">
        <v>142</v>
      </c>
      <c r="B15" s="172">
        <v>4901093.77</v>
      </c>
      <c r="P15" s="140"/>
    </row>
    <row r="16" spans="1:16" ht="13.5" customHeight="1">
      <c r="A16" s="198"/>
      <c r="B16" s="172"/>
      <c r="P16" s="140"/>
    </row>
    <row r="17" spans="1:16" ht="15">
      <c r="A17" s="198" t="s">
        <v>144</v>
      </c>
      <c r="B17" s="172">
        <f>B15-B14</f>
        <v>-33906.23000000045</v>
      </c>
      <c r="P17" s="140"/>
    </row>
    <row r="18" spans="1:16" ht="15">
      <c r="A18" s="198" t="s">
        <v>143</v>
      </c>
      <c r="B18" s="173">
        <f>B17/B14</f>
        <v>-0.006870563323201712</v>
      </c>
      <c r="P18" s="140"/>
    </row>
    <row r="19" ht="15.75" thickBot="1"/>
    <row r="20" spans="1:21" ht="16.5" thickBot="1">
      <c r="A20" s="63" t="s">
        <v>125</v>
      </c>
      <c r="B20" s="103" t="s">
        <v>122</v>
      </c>
      <c r="C20" s="103" t="s">
        <v>152</v>
      </c>
      <c r="D20" s="103" t="s">
        <v>176</v>
      </c>
      <c r="E20" s="141" t="s">
        <v>177</v>
      </c>
      <c r="H20" s="63" t="s">
        <v>126</v>
      </c>
      <c r="I20" s="100"/>
      <c r="J20" s="100"/>
      <c r="K20" s="100"/>
      <c r="L20" s="100"/>
      <c r="M20" s="101" t="s">
        <v>122</v>
      </c>
      <c r="N20" s="103" t="s">
        <v>152</v>
      </c>
      <c r="O20" s="103" t="s">
        <v>176</v>
      </c>
      <c r="P20" s="103" t="s">
        <v>177</v>
      </c>
      <c r="Q20" s="102" t="s">
        <v>123</v>
      </c>
      <c r="R20" s="142"/>
      <c r="S20" s="142"/>
      <c r="T20" s="142"/>
      <c r="U20" s="142"/>
    </row>
    <row r="21" spans="1:21" ht="15">
      <c r="A21" s="64" t="s">
        <v>66</v>
      </c>
      <c r="B21" s="135">
        <v>1758</v>
      </c>
      <c r="C21" s="158">
        <f>'2a Tarievenblad'!F28</f>
        <v>727.54</v>
      </c>
      <c r="D21" s="158">
        <f>ROUND(C21*$B$5,2)</f>
        <v>681.7</v>
      </c>
      <c r="E21" s="159">
        <f>FLOOR(C21*$E$11,0.01)-(C21-C21*$B$12)</f>
        <v>768.7698124271643</v>
      </c>
      <c r="F21" s="124"/>
      <c r="G21" s="375"/>
      <c r="H21" s="64" t="s">
        <v>66</v>
      </c>
      <c r="I21" s="104"/>
      <c r="J21" s="107"/>
      <c r="K21" s="107"/>
      <c r="L21" s="105"/>
      <c r="M21" s="108">
        <v>180711.75</v>
      </c>
      <c r="N21" s="175">
        <f>'2a Tarievenblad'!L28</f>
        <v>19.68</v>
      </c>
      <c r="O21" s="175">
        <f>FLOOR(N21*$B$5*1/12,0.01)*12</f>
        <v>18.36</v>
      </c>
      <c r="P21" s="175">
        <f>FLOOR(((N21*$F$11)-(N21-N21*$B$12))*1/12,0.01)*12</f>
        <v>17.28</v>
      </c>
      <c r="Q21" s="159" t="s">
        <v>124</v>
      </c>
      <c r="R21" s="142"/>
      <c r="S21" s="124"/>
      <c r="T21" s="376"/>
      <c r="U21" s="201"/>
    </row>
    <row r="22" spans="1:21" ht="15">
      <c r="A22" s="65" t="s">
        <v>67</v>
      </c>
      <c r="B22" s="136">
        <v>0</v>
      </c>
      <c r="C22" s="160">
        <f>'2a Tarievenblad'!F29</f>
        <v>1330.98</v>
      </c>
      <c r="D22" s="160">
        <f>ROUND(C22*$B$5,2)</f>
        <v>1247.13</v>
      </c>
      <c r="E22" s="161">
        <f>FLOOR(C22*$E$11,0.01)-(C22-C22*$B$12)</f>
        <v>1406.4125125000785</v>
      </c>
      <c r="F22" s="124"/>
      <c r="G22" s="375"/>
      <c r="H22" s="65" t="s">
        <v>67</v>
      </c>
      <c r="I22" s="109"/>
      <c r="J22" s="112"/>
      <c r="K22" s="112"/>
      <c r="L22" s="110"/>
      <c r="M22" s="111">
        <v>0</v>
      </c>
      <c r="N22" s="165">
        <f>'2a Tarievenblad'!L29</f>
        <v>39</v>
      </c>
      <c r="O22" s="165">
        <f>FLOOR(N22*$B$5*1/12,0.01)*12</f>
        <v>36.480000000000004</v>
      </c>
      <c r="P22" s="165">
        <f aca="true" t="shared" si="0" ref="P22:P31">FLOOR(((N22*$F$11)-(N22-N22*$B$12))*1/12,0.01)*12</f>
        <v>34.44</v>
      </c>
      <c r="Q22" s="161" t="s">
        <v>124</v>
      </c>
      <c r="R22" s="146"/>
      <c r="S22" s="124"/>
      <c r="T22" s="376"/>
      <c r="U22" s="201"/>
    </row>
    <row r="23" spans="1:21" ht="15">
      <c r="A23" s="65" t="s">
        <v>68</v>
      </c>
      <c r="B23" s="136">
        <v>41</v>
      </c>
      <c r="C23" s="160">
        <f>'2a Tarievenblad'!F30</f>
        <v>1330.98</v>
      </c>
      <c r="D23" s="160">
        <f>ROUND(C23*$B$5,2)</f>
        <v>1247.13</v>
      </c>
      <c r="E23" s="161">
        <f>FLOOR(C23*$E$11,0.01)-(C23-C23*$B$12)</f>
        <v>1406.4125125000785</v>
      </c>
      <c r="F23" s="124"/>
      <c r="G23" s="375"/>
      <c r="H23" s="65" t="s">
        <v>68</v>
      </c>
      <c r="I23" s="109"/>
      <c r="J23" s="112"/>
      <c r="K23" s="112"/>
      <c r="L23" s="110"/>
      <c r="M23" s="111">
        <v>2801</v>
      </c>
      <c r="N23" s="165">
        <f>'2a Tarievenblad'!L30</f>
        <v>42.24</v>
      </c>
      <c r="O23" s="165">
        <f>FLOOR(N23*$B$5*1/12,0.01)*12</f>
        <v>39.480000000000004</v>
      </c>
      <c r="P23" s="165">
        <f t="shared" si="0"/>
        <v>37.32</v>
      </c>
      <c r="Q23" s="161" t="s">
        <v>124</v>
      </c>
      <c r="R23" s="68"/>
      <c r="S23" s="124"/>
      <c r="T23" s="376"/>
      <c r="U23" s="201"/>
    </row>
    <row r="24" spans="1:21" ht="15">
      <c r="A24" s="65" t="s">
        <v>69</v>
      </c>
      <c r="B24" s="136">
        <v>8</v>
      </c>
      <c r="C24" s="160">
        <f>'2a Tarievenblad'!F31</f>
        <v>1693.68</v>
      </c>
      <c r="D24" s="160">
        <f>ROUND(C24*$B$5,2)</f>
        <v>1586.98</v>
      </c>
      <c r="E24" s="161">
        <f>FLOOR(C24*$E$11,0.01)-(C24-C24*$B$12)</f>
        <v>1789.6762486071411</v>
      </c>
      <c r="F24" s="124"/>
      <c r="G24" s="375"/>
      <c r="H24" s="65" t="s">
        <v>69</v>
      </c>
      <c r="I24" s="109"/>
      <c r="J24" s="112"/>
      <c r="K24" s="112"/>
      <c r="L24" s="110"/>
      <c r="M24" s="111">
        <v>649.25</v>
      </c>
      <c r="N24" s="165">
        <f>'2a Tarievenblad'!L31</f>
        <v>69.96000000000001</v>
      </c>
      <c r="O24" s="165">
        <f>FLOOR(N24*$B$5*1/12,0.01)*12</f>
        <v>65.52</v>
      </c>
      <c r="P24" s="165">
        <f t="shared" si="0"/>
        <v>61.800000000000004</v>
      </c>
      <c r="Q24" s="161" t="s">
        <v>124</v>
      </c>
      <c r="R24" s="142"/>
      <c r="S24" s="124"/>
      <c r="T24" s="376"/>
      <c r="U24" s="201"/>
    </row>
    <row r="25" spans="1:21" ht="15">
      <c r="A25" s="65"/>
      <c r="B25" s="136"/>
      <c r="C25" s="160"/>
      <c r="D25" s="160"/>
      <c r="E25" s="161"/>
      <c r="F25" s="124"/>
      <c r="H25" s="65"/>
      <c r="I25" s="109"/>
      <c r="J25" s="112"/>
      <c r="K25" s="112"/>
      <c r="L25" s="112"/>
      <c r="M25" s="74"/>
      <c r="N25" s="160"/>
      <c r="O25" s="160"/>
      <c r="P25" s="160"/>
      <c r="Q25" s="161"/>
      <c r="R25" s="142"/>
      <c r="S25" s="142"/>
      <c r="T25" s="142"/>
      <c r="U25" s="142"/>
    </row>
    <row r="26" spans="1:17" ht="15">
      <c r="A26" s="65" t="s">
        <v>70</v>
      </c>
      <c r="B26" s="136">
        <v>0</v>
      </c>
      <c r="C26" s="160">
        <f>'EAV 2011'!B10</f>
        <v>0</v>
      </c>
      <c r="D26" s="160">
        <f>'EAV 2011'!C10</f>
        <v>0</v>
      </c>
      <c r="E26" s="161">
        <f>'EAV 2011'!D10</f>
        <v>0</v>
      </c>
      <c r="F26" s="124"/>
      <c r="H26" s="65" t="s">
        <v>70</v>
      </c>
      <c r="I26" s="109"/>
      <c r="J26" s="112"/>
      <c r="K26" s="112"/>
      <c r="L26" s="110"/>
      <c r="M26" s="111">
        <v>0</v>
      </c>
      <c r="N26" s="111">
        <f>'PAV 2011'!B10</f>
        <v>0</v>
      </c>
      <c r="O26" s="111">
        <f>N26*$B$5</f>
        <v>0</v>
      </c>
      <c r="P26" s="165">
        <f t="shared" si="0"/>
        <v>0</v>
      </c>
      <c r="Q26" s="161" t="s">
        <v>124</v>
      </c>
    </row>
    <row r="27" spans="1:17" ht="15">
      <c r="A27" s="65" t="s">
        <v>71</v>
      </c>
      <c r="B27" s="136">
        <v>0</v>
      </c>
      <c r="C27" s="160">
        <f>'EAV 2011'!B11</f>
        <v>0</v>
      </c>
      <c r="D27" s="160">
        <f>'EAV 2011'!C11</f>
        <v>0</v>
      </c>
      <c r="E27" s="161">
        <f>'EAV 2011'!D11</f>
        <v>0</v>
      </c>
      <c r="F27" s="124"/>
      <c r="H27" s="65" t="s">
        <v>71</v>
      </c>
      <c r="I27" s="109"/>
      <c r="J27" s="112"/>
      <c r="K27" s="112"/>
      <c r="L27" s="110"/>
      <c r="M27" s="111">
        <v>0</v>
      </c>
      <c r="N27" s="111">
        <f>'PAV 2011'!B11</f>
        <v>0</v>
      </c>
      <c r="O27" s="111">
        <f>N27*$B$5</f>
        <v>0</v>
      </c>
      <c r="P27" s="165">
        <f t="shared" si="0"/>
        <v>0</v>
      </c>
      <c r="Q27" s="161" t="s">
        <v>124</v>
      </c>
    </row>
    <row r="28" spans="1:17" ht="15">
      <c r="A28" s="65" t="s">
        <v>72</v>
      </c>
      <c r="B28" s="136">
        <v>0</v>
      </c>
      <c r="C28" s="160">
        <f>'EAV 2011'!B12</f>
        <v>0</v>
      </c>
      <c r="D28" s="160">
        <f>'EAV 2011'!C12</f>
        <v>0</v>
      </c>
      <c r="E28" s="161">
        <f>'EAV 2011'!D12</f>
        <v>0</v>
      </c>
      <c r="F28" s="124"/>
      <c r="H28" s="65" t="s">
        <v>72</v>
      </c>
      <c r="I28" s="109"/>
      <c r="J28" s="112"/>
      <c r="K28" s="112"/>
      <c r="L28" s="110"/>
      <c r="M28" s="111">
        <v>0</v>
      </c>
      <c r="N28" s="111">
        <f>'PAV 2011'!B12</f>
        <v>0</v>
      </c>
      <c r="O28" s="111">
        <f>N28*$B$5</f>
        <v>0</v>
      </c>
      <c r="P28" s="165">
        <f t="shared" si="0"/>
        <v>0</v>
      </c>
      <c r="Q28" s="161" t="s">
        <v>124</v>
      </c>
    </row>
    <row r="29" spans="1:17" ht="15">
      <c r="A29" s="65" t="s">
        <v>73</v>
      </c>
      <c r="B29" s="136">
        <v>0</v>
      </c>
      <c r="C29" s="160">
        <f>'EAV 2011'!B13</f>
        <v>0</v>
      </c>
      <c r="D29" s="160">
        <f>'EAV 2011'!C13</f>
        <v>0</v>
      </c>
      <c r="E29" s="161">
        <f>'EAV 2011'!D13</f>
        <v>0</v>
      </c>
      <c r="F29" s="124"/>
      <c r="H29" s="65" t="s">
        <v>73</v>
      </c>
      <c r="I29" s="109"/>
      <c r="J29" s="112"/>
      <c r="K29" s="112"/>
      <c r="L29" s="110"/>
      <c r="M29" s="111">
        <v>0</v>
      </c>
      <c r="N29" s="111">
        <f>'PAV 2011'!B13</f>
        <v>0</v>
      </c>
      <c r="O29" s="111">
        <f>N29*$B$5</f>
        <v>0</v>
      </c>
      <c r="P29" s="165">
        <f t="shared" si="0"/>
        <v>0</v>
      </c>
      <c r="Q29" s="161" t="s">
        <v>124</v>
      </c>
    </row>
    <row r="30" spans="1:17" ht="15">
      <c r="A30" s="65"/>
      <c r="B30" s="136"/>
      <c r="C30" s="160"/>
      <c r="D30" s="160"/>
      <c r="E30" s="161"/>
      <c r="F30" s="124"/>
      <c r="H30" s="65"/>
      <c r="I30" s="109"/>
      <c r="J30" s="112"/>
      <c r="K30" s="112"/>
      <c r="L30" s="112"/>
      <c r="M30" s="74"/>
      <c r="N30" s="74"/>
      <c r="O30" s="74"/>
      <c r="P30" s="74"/>
      <c r="Q30" s="161"/>
    </row>
    <row r="31" spans="1:17" ht="15.75" thickBot="1">
      <c r="A31" s="66" t="s">
        <v>74</v>
      </c>
      <c r="B31" s="137">
        <v>0</v>
      </c>
      <c r="C31" s="162">
        <f>'EAV 2011'!B15</f>
        <v>0</v>
      </c>
      <c r="D31" s="162">
        <f>'EAV 2011'!C15</f>
        <v>0</v>
      </c>
      <c r="E31" s="163">
        <f>'EAV 2011'!D15</f>
        <v>0</v>
      </c>
      <c r="F31" s="124"/>
      <c r="H31" s="66" t="s">
        <v>74</v>
      </c>
      <c r="I31" s="113"/>
      <c r="J31" s="116"/>
      <c r="K31" s="116"/>
      <c r="L31" s="114"/>
      <c r="M31" s="115">
        <v>0</v>
      </c>
      <c r="N31" s="115">
        <f>'PAV 2011'!B15</f>
        <v>0</v>
      </c>
      <c r="O31" s="115">
        <f>N31*$B$5</f>
        <v>0</v>
      </c>
      <c r="P31" s="115">
        <f t="shared" si="0"/>
        <v>0</v>
      </c>
      <c r="Q31" s="163" t="s">
        <v>124</v>
      </c>
    </row>
    <row r="32" ht="15.75" thickBot="1">
      <c r="F32" s="124"/>
    </row>
    <row r="33" spans="1:17" ht="16.5" thickBot="1">
      <c r="A33" s="69" t="s">
        <v>127</v>
      </c>
      <c r="B33" s="101" t="s">
        <v>122</v>
      </c>
      <c r="C33" s="103" t="s">
        <v>152</v>
      </c>
      <c r="D33" s="103" t="s">
        <v>176</v>
      </c>
      <c r="E33" s="141" t="s">
        <v>177</v>
      </c>
      <c r="F33" s="124"/>
      <c r="H33" s="69" t="s">
        <v>128</v>
      </c>
      <c r="I33" s="117"/>
      <c r="J33" s="98"/>
      <c r="K33" s="100"/>
      <c r="L33" s="100"/>
      <c r="M33" s="101" t="s">
        <v>122</v>
      </c>
      <c r="N33" s="103" t="s">
        <v>152</v>
      </c>
      <c r="O33" s="103" t="s">
        <v>176</v>
      </c>
      <c r="P33" s="141" t="s">
        <v>177</v>
      </c>
      <c r="Q33" s="143" t="s">
        <v>123</v>
      </c>
    </row>
    <row r="34" spans="1:21" ht="15">
      <c r="A34" s="64" t="s">
        <v>76</v>
      </c>
      <c r="B34" s="106">
        <v>1</v>
      </c>
      <c r="C34" s="158">
        <f>'2a Tarievenblad'!F41</f>
        <v>1999.17</v>
      </c>
      <c r="D34" s="158">
        <f aca="true" t="shared" si="1" ref="D34:D40">ROUND(C34*$B$5,2)</f>
        <v>1873.22</v>
      </c>
      <c r="E34" s="159">
        <f aca="true" t="shared" si="2" ref="E34:E40">FLOOR((C34*$E$12)-(C34-C34*$B$12),0.01)</f>
        <v>2363.66</v>
      </c>
      <c r="F34" s="124"/>
      <c r="G34" s="375"/>
      <c r="H34" s="64" t="s">
        <v>76</v>
      </c>
      <c r="I34" s="104"/>
      <c r="J34" s="107"/>
      <c r="K34" s="107"/>
      <c r="L34" s="105"/>
      <c r="M34" s="106">
        <v>198</v>
      </c>
      <c r="N34" s="164">
        <f>'2a Tarievenblad'!L41</f>
        <v>47.88</v>
      </c>
      <c r="O34" s="164">
        <f aca="true" t="shared" si="3" ref="O34:O56">FLOOR(N34*$B$5*1/12,0.01)*12</f>
        <v>44.76</v>
      </c>
      <c r="P34" s="164">
        <f aca="true" t="shared" si="4" ref="P34:P56">FLOOR(((N34*$F$12)-(N34-N34*$B$12))*1/12,0.01)*12</f>
        <v>39.84</v>
      </c>
      <c r="Q34" s="154" t="s">
        <v>124</v>
      </c>
      <c r="R34" s="124"/>
      <c r="S34" s="124"/>
      <c r="T34" s="376"/>
      <c r="U34" s="201"/>
    </row>
    <row r="35" spans="1:21" ht="15">
      <c r="A35" s="65" t="s">
        <v>77</v>
      </c>
      <c r="B35" s="111">
        <v>1</v>
      </c>
      <c r="C35" s="160">
        <f>'2a Tarievenblad'!F42</f>
        <v>1999.17</v>
      </c>
      <c r="D35" s="160">
        <f t="shared" si="1"/>
        <v>1873.22</v>
      </c>
      <c r="E35" s="161">
        <f t="shared" si="2"/>
        <v>2363.66</v>
      </c>
      <c r="F35" s="124"/>
      <c r="G35" s="375"/>
      <c r="H35" s="65" t="s">
        <v>77</v>
      </c>
      <c r="I35" s="109"/>
      <c r="J35" s="112"/>
      <c r="K35" s="112"/>
      <c r="L35" s="110"/>
      <c r="M35" s="111">
        <v>265</v>
      </c>
      <c r="N35" s="165">
        <f>'2a Tarievenblad'!L42</f>
        <v>59.28</v>
      </c>
      <c r="O35" s="165">
        <f t="shared" si="3"/>
        <v>55.44</v>
      </c>
      <c r="P35" s="165">
        <f t="shared" si="4"/>
        <v>49.32000000000001</v>
      </c>
      <c r="Q35" s="155" t="s">
        <v>124</v>
      </c>
      <c r="S35" s="124"/>
      <c r="T35" s="376"/>
      <c r="U35" s="201"/>
    </row>
    <row r="36" spans="1:21" ht="15">
      <c r="A36" s="65" t="s">
        <v>78</v>
      </c>
      <c r="B36" s="111">
        <v>1</v>
      </c>
      <c r="C36" s="160">
        <f>'2a Tarievenblad'!F43</f>
        <v>1999.17</v>
      </c>
      <c r="D36" s="160">
        <f t="shared" si="1"/>
        <v>1873.22</v>
      </c>
      <c r="E36" s="161">
        <f t="shared" si="2"/>
        <v>2363.66</v>
      </c>
      <c r="F36" s="124"/>
      <c r="G36" s="375"/>
      <c r="H36" s="65" t="s">
        <v>78</v>
      </c>
      <c r="I36" s="109"/>
      <c r="J36" s="112"/>
      <c r="K36" s="112"/>
      <c r="L36" s="110"/>
      <c r="M36" s="111">
        <v>95</v>
      </c>
      <c r="N36" s="165">
        <f>'2a Tarievenblad'!L43</f>
        <v>90.6</v>
      </c>
      <c r="O36" s="165">
        <f t="shared" si="3"/>
        <v>84.84</v>
      </c>
      <c r="P36" s="165">
        <f t="shared" si="4"/>
        <v>75.36</v>
      </c>
      <c r="Q36" s="155" t="s">
        <v>124</v>
      </c>
      <c r="R36" s="68"/>
      <c r="S36" s="124"/>
      <c r="T36" s="376"/>
      <c r="U36" s="201"/>
    </row>
    <row r="37" spans="1:21" ht="15">
      <c r="A37" s="65" t="s">
        <v>79</v>
      </c>
      <c r="B37" s="111">
        <v>0</v>
      </c>
      <c r="C37" s="160">
        <f>'2a Tarievenblad'!F44</f>
        <v>1999.17</v>
      </c>
      <c r="D37" s="160">
        <f t="shared" si="1"/>
        <v>1873.22</v>
      </c>
      <c r="E37" s="161">
        <f t="shared" si="2"/>
        <v>2363.66</v>
      </c>
      <c r="F37" s="124"/>
      <c r="G37" s="375"/>
      <c r="H37" s="65" t="s">
        <v>79</v>
      </c>
      <c r="I37" s="109"/>
      <c r="J37" s="112"/>
      <c r="K37" s="112"/>
      <c r="L37" s="110"/>
      <c r="M37" s="111">
        <v>63</v>
      </c>
      <c r="N37" s="165">
        <f>'2a Tarievenblad'!L44</f>
        <v>137.52</v>
      </c>
      <c r="O37" s="165">
        <f t="shared" si="3"/>
        <v>128.76</v>
      </c>
      <c r="P37" s="165">
        <f t="shared" si="4"/>
        <v>114.35999999999999</v>
      </c>
      <c r="Q37" s="155" t="s">
        <v>124</v>
      </c>
      <c r="S37" s="124"/>
      <c r="T37" s="376"/>
      <c r="U37" s="201"/>
    </row>
    <row r="38" spans="1:21" ht="15">
      <c r="A38" s="65" t="s">
        <v>80</v>
      </c>
      <c r="B38" s="111">
        <v>0</v>
      </c>
      <c r="C38" s="160">
        <f>'2a Tarievenblad'!F45</f>
        <v>2186.6</v>
      </c>
      <c r="D38" s="160">
        <f t="shared" si="1"/>
        <v>2048.84</v>
      </c>
      <c r="E38" s="161">
        <f t="shared" si="2"/>
        <v>2585.26</v>
      </c>
      <c r="F38" s="124"/>
      <c r="G38" s="375"/>
      <c r="H38" s="65" t="s">
        <v>80</v>
      </c>
      <c r="I38" s="109"/>
      <c r="J38" s="112"/>
      <c r="K38" s="112"/>
      <c r="L38" s="110"/>
      <c r="M38" s="111">
        <v>12</v>
      </c>
      <c r="N38" s="165">
        <f>'2a Tarievenblad'!L45</f>
        <v>187.8</v>
      </c>
      <c r="O38" s="165">
        <f t="shared" si="3"/>
        <v>175.92000000000002</v>
      </c>
      <c r="P38" s="165">
        <f t="shared" si="4"/>
        <v>156.24</v>
      </c>
      <c r="Q38" s="155" t="s">
        <v>124</v>
      </c>
      <c r="S38" s="124"/>
      <c r="T38" s="376"/>
      <c r="U38" s="201"/>
    </row>
    <row r="39" spans="1:21" ht="15">
      <c r="A39" s="65" t="s">
        <v>81</v>
      </c>
      <c r="B39" s="111">
        <v>0</v>
      </c>
      <c r="C39" s="160">
        <f>'2a Tarievenblad'!F46</f>
        <v>2186.6</v>
      </c>
      <c r="D39" s="160">
        <f t="shared" si="1"/>
        <v>2048.84</v>
      </c>
      <c r="E39" s="161">
        <f t="shared" si="2"/>
        <v>2585.26</v>
      </c>
      <c r="F39" s="124"/>
      <c r="G39" s="375"/>
      <c r="H39" s="65" t="s">
        <v>81</v>
      </c>
      <c r="I39" s="109"/>
      <c r="J39" s="112"/>
      <c r="K39" s="112"/>
      <c r="L39" s="110"/>
      <c r="M39" s="111">
        <v>0</v>
      </c>
      <c r="N39" s="165">
        <f>'2a Tarievenblad'!L46</f>
        <v>219.84</v>
      </c>
      <c r="O39" s="165">
        <f t="shared" si="3"/>
        <v>205.92000000000002</v>
      </c>
      <c r="P39" s="165">
        <f t="shared" si="4"/>
        <v>182.88</v>
      </c>
      <c r="Q39" s="155" t="s">
        <v>124</v>
      </c>
      <c r="S39" s="124"/>
      <c r="T39" s="376"/>
      <c r="U39" s="201"/>
    </row>
    <row r="40" spans="1:21" ht="15">
      <c r="A40" s="65" t="s">
        <v>82</v>
      </c>
      <c r="B40" s="111">
        <v>0</v>
      </c>
      <c r="C40" s="160">
        <f>'2a Tarievenblad'!F47</f>
        <v>2623.92</v>
      </c>
      <c r="D40" s="160">
        <f t="shared" si="1"/>
        <v>2458.61</v>
      </c>
      <c r="E40" s="161">
        <f t="shared" si="2"/>
        <v>3102.32</v>
      </c>
      <c r="F40" s="124"/>
      <c r="G40" s="375"/>
      <c r="H40" s="65" t="s">
        <v>82</v>
      </c>
      <c r="I40" s="109"/>
      <c r="J40" s="112"/>
      <c r="K40" s="112"/>
      <c r="L40" s="110"/>
      <c r="M40" s="111">
        <v>0</v>
      </c>
      <c r="N40" s="165">
        <f>'2a Tarievenblad'!L47</f>
        <v>237.48</v>
      </c>
      <c r="O40" s="165">
        <f t="shared" si="3"/>
        <v>222.48</v>
      </c>
      <c r="P40" s="165">
        <f t="shared" si="4"/>
        <v>197.64</v>
      </c>
      <c r="Q40" s="155" t="s">
        <v>124</v>
      </c>
      <c r="S40" s="124"/>
      <c r="T40" s="377"/>
      <c r="U40" s="201"/>
    </row>
    <row r="41" spans="1:21" ht="15">
      <c r="A41" s="65" t="s">
        <v>83</v>
      </c>
      <c r="B41" s="111">
        <v>0</v>
      </c>
      <c r="C41" s="160"/>
      <c r="D41" s="160"/>
      <c r="E41" s="161"/>
      <c r="F41" s="124"/>
      <c r="H41" s="65" t="s">
        <v>83</v>
      </c>
      <c r="I41" s="109"/>
      <c r="J41" s="112"/>
      <c r="K41" s="112"/>
      <c r="L41" s="110"/>
      <c r="M41" s="111">
        <v>1</v>
      </c>
      <c r="N41" s="165">
        <f>'2a Tarievenblad'!L48</f>
        <v>334.32</v>
      </c>
      <c r="O41" s="165">
        <f t="shared" si="3"/>
        <v>313.20000000000005</v>
      </c>
      <c r="P41" s="165">
        <f t="shared" si="4"/>
        <v>278.15999999999997</v>
      </c>
      <c r="Q41" s="155" t="s">
        <v>124</v>
      </c>
      <c r="S41" s="124"/>
      <c r="T41" s="376"/>
      <c r="U41" s="201"/>
    </row>
    <row r="42" spans="1:21" ht="15">
      <c r="A42" s="65" t="s">
        <v>84</v>
      </c>
      <c r="B42" s="111">
        <v>0</v>
      </c>
      <c r="C42" s="160"/>
      <c r="D42" s="160"/>
      <c r="E42" s="161"/>
      <c r="F42" s="124"/>
      <c r="H42" s="65" t="s">
        <v>84</v>
      </c>
      <c r="I42" s="109"/>
      <c r="J42" s="112"/>
      <c r="K42" s="112"/>
      <c r="L42" s="110"/>
      <c r="M42" s="111">
        <v>0</v>
      </c>
      <c r="N42" s="165">
        <f>'2a Tarievenblad'!L49</f>
        <v>556.9200000000001</v>
      </c>
      <c r="O42" s="165">
        <f t="shared" si="3"/>
        <v>521.76</v>
      </c>
      <c r="P42" s="165">
        <f t="shared" si="4"/>
        <v>463.43999999999994</v>
      </c>
      <c r="Q42" s="155" t="s">
        <v>124</v>
      </c>
      <c r="S42" s="124"/>
      <c r="T42" s="376"/>
      <c r="U42" s="201"/>
    </row>
    <row r="43" spans="1:17" ht="15">
      <c r="A43" s="77" t="s">
        <v>85</v>
      </c>
      <c r="B43" s="111">
        <v>0</v>
      </c>
      <c r="C43" s="160"/>
      <c r="D43" s="160"/>
      <c r="E43" s="161"/>
      <c r="F43" s="124"/>
      <c r="H43" s="65" t="s">
        <v>85</v>
      </c>
      <c r="I43" s="109"/>
      <c r="J43" s="112"/>
      <c r="K43" s="112"/>
      <c r="L43" s="110"/>
      <c r="M43" s="111">
        <v>0</v>
      </c>
      <c r="N43" s="165">
        <f>'2a Tarievenblad'!L50</f>
        <v>0</v>
      </c>
      <c r="O43" s="165">
        <f t="shared" si="3"/>
        <v>0</v>
      </c>
      <c r="P43" s="165">
        <f t="shared" si="4"/>
        <v>0</v>
      </c>
      <c r="Q43" s="155" t="s">
        <v>124</v>
      </c>
    </row>
    <row r="44" spans="1:17" ht="15">
      <c r="A44" s="78"/>
      <c r="B44" s="74"/>
      <c r="C44" s="160"/>
      <c r="D44" s="160"/>
      <c r="E44" s="161"/>
      <c r="F44" s="124"/>
      <c r="H44" s="65"/>
      <c r="I44" s="109"/>
      <c r="J44" s="112"/>
      <c r="K44" s="112"/>
      <c r="L44" s="112"/>
      <c r="M44" s="74"/>
      <c r="N44" s="166"/>
      <c r="O44" s="166"/>
      <c r="P44" s="166"/>
      <c r="Q44" s="156"/>
    </row>
    <row r="45" spans="1:21" ht="15">
      <c r="A45" s="65" t="s">
        <v>86</v>
      </c>
      <c r="B45" s="111">
        <v>0</v>
      </c>
      <c r="C45" s="160">
        <f>'2a Tarievenblad'!F52</f>
        <v>13744.33</v>
      </c>
      <c r="D45" s="160">
        <f>ROUND(C45*$B$5,2)</f>
        <v>12878.44</v>
      </c>
      <c r="E45" s="161">
        <f aca="true" t="shared" si="5" ref="E45:E50">FLOOR((C45*$E$12)-(C45-C45*$B$12),0.01)</f>
        <v>16250.24</v>
      </c>
      <c r="F45" s="124"/>
      <c r="G45" s="379"/>
      <c r="H45" s="65" t="s">
        <v>86</v>
      </c>
      <c r="I45" s="109"/>
      <c r="J45" s="112"/>
      <c r="K45" s="112"/>
      <c r="L45" s="110"/>
      <c r="M45" s="111">
        <v>0</v>
      </c>
      <c r="N45" s="165">
        <f>'2a Tarievenblad'!L52</f>
        <v>119.88</v>
      </c>
      <c r="O45" s="165">
        <f t="shared" si="3"/>
        <v>112.32</v>
      </c>
      <c r="P45" s="165">
        <f t="shared" si="4"/>
        <v>99.72</v>
      </c>
      <c r="Q45" s="155" t="s">
        <v>124</v>
      </c>
      <c r="S45" s="124"/>
      <c r="T45" s="376"/>
      <c r="U45" s="201"/>
    </row>
    <row r="46" spans="1:21" ht="15">
      <c r="A46" s="65" t="s">
        <v>87</v>
      </c>
      <c r="B46" s="111">
        <v>0</v>
      </c>
      <c r="C46" s="160">
        <f>'2a Tarievenblad'!F53</f>
        <v>13744.33</v>
      </c>
      <c r="D46" s="160">
        <f aca="true" t="shared" si="6" ref="D46:D51">ROUND(C46*$B$5,2)</f>
        <v>12878.44</v>
      </c>
      <c r="E46" s="161">
        <f t="shared" si="5"/>
        <v>16250.24</v>
      </c>
      <c r="F46" s="124"/>
      <c r="G46" s="379"/>
      <c r="H46" s="65" t="s">
        <v>87</v>
      </c>
      <c r="I46" s="109"/>
      <c r="J46" s="112"/>
      <c r="K46" s="112"/>
      <c r="L46" s="110"/>
      <c r="M46" s="111">
        <v>23</v>
      </c>
      <c r="N46" s="165">
        <f>'2a Tarievenblad'!L53</f>
        <v>148.56</v>
      </c>
      <c r="O46" s="165">
        <f t="shared" si="3"/>
        <v>139.2</v>
      </c>
      <c r="P46" s="165">
        <f t="shared" si="4"/>
        <v>123.60000000000001</v>
      </c>
      <c r="Q46" s="155" t="s">
        <v>124</v>
      </c>
      <c r="S46" s="124"/>
      <c r="T46" s="376"/>
      <c r="U46" s="201"/>
    </row>
    <row r="47" spans="1:21" ht="15">
      <c r="A47" s="65" t="s">
        <v>88</v>
      </c>
      <c r="B47" s="111">
        <v>0</v>
      </c>
      <c r="C47" s="160">
        <f>'2a Tarievenblad'!F54</f>
        <v>14369.08</v>
      </c>
      <c r="D47" s="160">
        <f t="shared" si="6"/>
        <v>13463.83</v>
      </c>
      <c r="E47" s="161">
        <f t="shared" si="5"/>
        <v>16988.89</v>
      </c>
      <c r="F47" s="124"/>
      <c r="G47" s="379"/>
      <c r="H47" s="65" t="s">
        <v>88</v>
      </c>
      <c r="I47" s="109"/>
      <c r="J47" s="112"/>
      <c r="K47" s="112"/>
      <c r="L47" s="110"/>
      <c r="M47" s="111">
        <v>10</v>
      </c>
      <c r="N47" s="165">
        <f>'2a Tarievenblad'!L54</f>
        <v>226.68</v>
      </c>
      <c r="O47" s="165">
        <f t="shared" si="3"/>
        <v>212.28000000000003</v>
      </c>
      <c r="P47" s="165">
        <f t="shared" si="4"/>
        <v>188.64000000000001</v>
      </c>
      <c r="Q47" s="155" t="s">
        <v>124</v>
      </c>
      <c r="S47" s="124"/>
      <c r="T47" s="376"/>
      <c r="U47" s="201"/>
    </row>
    <row r="48" spans="1:21" ht="15">
      <c r="A48" s="65" t="s">
        <v>89</v>
      </c>
      <c r="B48" s="111">
        <v>1</v>
      </c>
      <c r="C48" s="160">
        <f>'2a Tarievenblad'!F55</f>
        <v>14369.08</v>
      </c>
      <c r="D48" s="160">
        <f t="shared" si="6"/>
        <v>13463.83</v>
      </c>
      <c r="E48" s="161">
        <f t="shared" si="5"/>
        <v>16988.89</v>
      </c>
      <c r="F48" s="124"/>
      <c r="G48" s="379"/>
      <c r="H48" s="65" t="s">
        <v>89</v>
      </c>
      <c r="I48" s="109"/>
      <c r="J48" s="112"/>
      <c r="K48" s="112"/>
      <c r="L48" s="110"/>
      <c r="M48" s="111">
        <v>38</v>
      </c>
      <c r="N48" s="165">
        <f>'2a Tarievenblad'!L55</f>
        <v>344.04</v>
      </c>
      <c r="O48" s="165">
        <f t="shared" si="3"/>
        <v>322.32</v>
      </c>
      <c r="P48" s="165">
        <f t="shared" si="4"/>
        <v>286.32</v>
      </c>
      <c r="Q48" s="155" t="s">
        <v>124</v>
      </c>
      <c r="S48" s="124"/>
      <c r="T48" s="376"/>
      <c r="U48" s="201"/>
    </row>
    <row r="49" spans="1:21" ht="15">
      <c r="A49" s="65" t="s">
        <v>90</v>
      </c>
      <c r="B49" s="111">
        <v>1</v>
      </c>
      <c r="C49" s="160">
        <f>'2a Tarievenblad'!F56</f>
        <v>14369.08</v>
      </c>
      <c r="D49" s="160">
        <f t="shared" si="6"/>
        <v>13463.83</v>
      </c>
      <c r="E49" s="161">
        <f t="shared" si="5"/>
        <v>16988.89</v>
      </c>
      <c r="F49" s="124"/>
      <c r="G49" s="379"/>
      <c r="H49" s="65" t="s">
        <v>90</v>
      </c>
      <c r="I49" s="109"/>
      <c r="J49" s="112"/>
      <c r="K49" s="112"/>
      <c r="L49" s="118"/>
      <c r="M49" s="111">
        <v>34</v>
      </c>
      <c r="N49" s="165">
        <f>'2a Tarievenblad'!L56</f>
        <v>469.68</v>
      </c>
      <c r="O49" s="165">
        <f t="shared" si="3"/>
        <v>440.04</v>
      </c>
      <c r="P49" s="165">
        <f t="shared" si="4"/>
        <v>390.84000000000003</v>
      </c>
      <c r="Q49" s="155" t="s">
        <v>124</v>
      </c>
      <c r="S49" s="124"/>
      <c r="T49" s="376"/>
      <c r="U49" s="201"/>
    </row>
    <row r="50" spans="1:21" ht="15">
      <c r="A50" s="65" t="s">
        <v>91</v>
      </c>
      <c r="B50" s="111">
        <v>0</v>
      </c>
      <c r="C50" s="160">
        <f>'2a Tarievenblad'!F57</f>
        <v>15743.51</v>
      </c>
      <c r="D50" s="160">
        <f t="shared" si="6"/>
        <v>14751.67</v>
      </c>
      <c r="E50" s="161">
        <f t="shared" si="5"/>
        <v>18613.91</v>
      </c>
      <c r="F50" s="124"/>
      <c r="G50" s="375"/>
      <c r="H50" s="65" t="s">
        <v>91</v>
      </c>
      <c r="I50" s="109"/>
      <c r="J50" s="112"/>
      <c r="K50" s="112"/>
      <c r="L50" s="110"/>
      <c r="M50" s="111">
        <v>15</v>
      </c>
      <c r="N50" s="165">
        <f>'2a Tarievenblad'!L57</f>
        <v>549.72</v>
      </c>
      <c r="O50" s="165">
        <f t="shared" si="3"/>
        <v>515.04</v>
      </c>
      <c r="P50" s="165">
        <f t="shared" si="4"/>
        <v>457.43999999999994</v>
      </c>
      <c r="Q50" s="155" t="s">
        <v>124</v>
      </c>
      <c r="S50" s="124"/>
      <c r="T50" s="376"/>
      <c r="U50" s="201"/>
    </row>
    <row r="51" spans="1:21" ht="15">
      <c r="A51" s="65" t="s">
        <v>92</v>
      </c>
      <c r="B51" s="111">
        <v>1</v>
      </c>
      <c r="C51" s="160">
        <f>'2a Tarievenblad'!F58</f>
        <v>15743.51</v>
      </c>
      <c r="D51" s="160">
        <f t="shared" si="6"/>
        <v>14751.67</v>
      </c>
      <c r="E51" s="161">
        <f>FLOOR((C51*$E$12)-(C51-C51*$B$12),0.01)</f>
        <v>18613.91</v>
      </c>
      <c r="F51" s="124"/>
      <c r="G51" s="375"/>
      <c r="H51" s="65" t="s">
        <v>92</v>
      </c>
      <c r="I51" s="109"/>
      <c r="J51" s="112"/>
      <c r="K51" s="112"/>
      <c r="L51" s="110"/>
      <c r="M51" s="111">
        <v>2</v>
      </c>
      <c r="N51" s="165">
        <f>'2a Tarievenblad'!L58</f>
        <v>593.76</v>
      </c>
      <c r="O51" s="165">
        <f t="shared" si="3"/>
        <v>556.3199999999999</v>
      </c>
      <c r="P51" s="165">
        <f t="shared" si="4"/>
        <v>494.15999999999997</v>
      </c>
      <c r="Q51" s="155" t="s">
        <v>124</v>
      </c>
      <c r="S51" s="124"/>
      <c r="T51" s="377"/>
      <c r="U51" s="201"/>
    </row>
    <row r="52" spans="1:21" ht="15">
      <c r="A52" s="65" t="s">
        <v>93</v>
      </c>
      <c r="B52" s="111">
        <v>0</v>
      </c>
      <c r="C52" s="109"/>
      <c r="D52" s="109"/>
      <c r="E52" s="144"/>
      <c r="F52" s="124"/>
      <c r="H52" s="65" t="s">
        <v>93</v>
      </c>
      <c r="I52" s="109"/>
      <c r="J52" s="112"/>
      <c r="K52" s="112"/>
      <c r="L52" s="110"/>
      <c r="M52" s="111">
        <v>2</v>
      </c>
      <c r="N52" s="165">
        <f>'2a Tarievenblad'!L59</f>
        <v>835.92</v>
      </c>
      <c r="O52" s="165">
        <f t="shared" si="3"/>
        <v>783.24</v>
      </c>
      <c r="P52" s="165">
        <f t="shared" si="4"/>
        <v>695.76</v>
      </c>
      <c r="Q52" s="155" t="s">
        <v>124</v>
      </c>
      <c r="S52" s="124"/>
      <c r="T52" s="377"/>
      <c r="U52" s="201"/>
    </row>
    <row r="53" spans="1:21" ht="15">
      <c r="A53" s="65" t="s">
        <v>94</v>
      </c>
      <c r="B53" s="111">
        <v>0</v>
      </c>
      <c r="C53" s="109"/>
      <c r="D53" s="109"/>
      <c r="E53" s="144"/>
      <c r="F53" s="124"/>
      <c r="H53" s="65" t="s">
        <v>94</v>
      </c>
      <c r="I53" s="109"/>
      <c r="J53" s="112"/>
      <c r="K53" s="112"/>
      <c r="L53" s="110"/>
      <c r="M53" s="111">
        <v>0</v>
      </c>
      <c r="N53" s="165">
        <f>'2a Tarievenblad'!L60</f>
        <v>1392.3600000000001</v>
      </c>
      <c r="O53" s="165">
        <f t="shared" si="3"/>
        <v>1304.6399999999999</v>
      </c>
      <c r="P53" s="165">
        <f t="shared" si="4"/>
        <v>1158.8400000000001</v>
      </c>
      <c r="Q53" s="155" t="s">
        <v>124</v>
      </c>
      <c r="S53" s="124"/>
      <c r="T53" s="377"/>
      <c r="U53" s="201"/>
    </row>
    <row r="54" spans="1:23" ht="15">
      <c r="A54" s="65" t="s">
        <v>95</v>
      </c>
      <c r="B54" s="111">
        <v>0</v>
      </c>
      <c r="C54" s="109"/>
      <c r="D54" s="109"/>
      <c r="E54" s="144"/>
      <c r="F54" s="124"/>
      <c r="H54" s="65" t="s">
        <v>95</v>
      </c>
      <c r="I54" s="109"/>
      <c r="J54" s="112"/>
      <c r="K54" s="112"/>
      <c r="L54" s="110"/>
      <c r="M54" s="111">
        <v>0</v>
      </c>
      <c r="N54" s="165">
        <f>'2a Tarievenblad'!L61</f>
        <v>2784.96</v>
      </c>
      <c r="O54" s="165">
        <f t="shared" si="3"/>
        <v>2609.4</v>
      </c>
      <c r="P54" s="165">
        <f>FLOOR(((N54*$F$12)-(N54-N54*$B$12))*1/12,0.01)*12</f>
        <v>2318.04</v>
      </c>
      <c r="Q54" s="155" t="s">
        <v>124</v>
      </c>
      <c r="S54" s="124"/>
      <c r="T54" s="377"/>
      <c r="U54" s="201"/>
      <c r="W54" s="378"/>
    </row>
    <row r="55" spans="1:19" ht="15">
      <c r="A55" s="70"/>
      <c r="B55" s="119"/>
      <c r="C55" s="119"/>
      <c r="D55" s="119"/>
      <c r="E55" s="147"/>
      <c r="F55" s="124"/>
      <c r="H55" s="70"/>
      <c r="I55" s="119"/>
      <c r="J55" s="119"/>
      <c r="K55" s="112"/>
      <c r="L55" s="112"/>
      <c r="M55" s="119"/>
      <c r="N55" s="167"/>
      <c r="O55" s="167"/>
      <c r="P55" s="167"/>
      <c r="Q55" s="147"/>
      <c r="S55" s="124"/>
    </row>
    <row r="56" spans="1:19" ht="15.75" thickBot="1">
      <c r="A56" s="66" t="s">
        <v>96</v>
      </c>
      <c r="B56" s="115">
        <v>0</v>
      </c>
      <c r="C56" s="113"/>
      <c r="D56" s="113"/>
      <c r="E56" s="145"/>
      <c r="F56" s="124"/>
      <c r="H56" s="66" t="s">
        <v>96</v>
      </c>
      <c r="I56" s="113"/>
      <c r="J56" s="116"/>
      <c r="K56" s="116"/>
      <c r="L56" s="114"/>
      <c r="M56" s="115">
        <v>13</v>
      </c>
      <c r="N56" s="168">
        <f>'2a Tarievenblad'!L63</f>
        <v>2901.48</v>
      </c>
      <c r="O56" s="168">
        <f t="shared" si="3"/>
        <v>2718.6000000000004</v>
      </c>
      <c r="P56" s="168">
        <f t="shared" si="4"/>
        <v>2415</v>
      </c>
      <c r="Q56" s="157" t="s">
        <v>124</v>
      </c>
      <c r="S56" s="124"/>
    </row>
    <row r="57" spans="1:6" ht="21" thickBot="1">
      <c r="A57" s="76"/>
      <c r="B57" s="76"/>
      <c r="C57" s="76"/>
      <c r="D57" s="120"/>
      <c r="E57" s="120"/>
      <c r="F57" s="124"/>
    </row>
    <row r="58" spans="1:6" ht="15.75" thickBot="1">
      <c r="A58" s="149" t="s">
        <v>100</v>
      </c>
      <c r="B58" s="150" t="s">
        <v>122</v>
      </c>
      <c r="C58" s="103" t="s">
        <v>152</v>
      </c>
      <c r="D58" s="103" t="s">
        <v>176</v>
      </c>
      <c r="E58" s="141" t="s">
        <v>131</v>
      </c>
      <c r="F58" s="124"/>
    </row>
    <row r="59" spans="1:9" ht="15">
      <c r="A59" s="79" t="s">
        <v>66</v>
      </c>
      <c r="B59" s="106">
        <v>998</v>
      </c>
      <c r="C59" s="192">
        <f>'2a Tarievenblad'!F66</f>
        <v>26.5</v>
      </c>
      <c r="D59" s="192">
        <f>ROUND(C59*$B$5,2)</f>
        <v>24.83</v>
      </c>
      <c r="E59" s="193">
        <f>FLOOR((C59*$E$11)-(C59-C59*$B$12),0.01)</f>
        <v>28</v>
      </c>
      <c r="F59" s="124"/>
      <c r="G59" s="375"/>
      <c r="I59" s="139"/>
    </row>
    <row r="60" spans="1:16" ht="15">
      <c r="A60" s="80" t="s">
        <v>67</v>
      </c>
      <c r="B60" s="111">
        <v>0</v>
      </c>
      <c r="C60" s="194">
        <f>'2a Tarievenblad'!F67</f>
        <v>27.96</v>
      </c>
      <c r="D60" s="194">
        <f>ROUND(C60*$B$5,2)</f>
        <v>26.2</v>
      </c>
      <c r="E60" s="195">
        <f>FLOOR((C60*$E$11)-(C60-C60*$B$12),0.01)</f>
        <v>29.54</v>
      </c>
      <c r="F60" s="124"/>
      <c r="G60" s="375"/>
      <c r="H60" s="148"/>
      <c r="I60" s="188"/>
      <c r="J60" s="148"/>
      <c r="K60" s="148"/>
      <c r="L60" s="148"/>
      <c r="M60" s="148"/>
      <c r="N60" s="148"/>
      <c r="O60" s="148"/>
      <c r="P60" s="148"/>
    </row>
    <row r="61" spans="1:17" ht="15">
      <c r="A61" s="80" t="s">
        <v>68</v>
      </c>
      <c r="B61" s="111">
        <v>507</v>
      </c>
      <c r="C61" s="194">
        <f>'2a Tarievenblad'!F68</f>
        <v>29.49</v>
      </c>
      <c r="D61" s="194">
        <f>ROUND(C61*$B$5,2)</f>
        <v>27.63</v>
      </c>
      <c r="E61" s="195">
        <f>FLOOR((C61*$E$11)-(C61-C61*$B$12),0.01)</f>
        <v>31.16</v>
      </c>
      <c r="F61" s="124"/>
      <c r="G61" s="375"/>
      <c r="H61" s="148"/>
      <c r="I61" s="188"/>
      <c r="J61" s="189"/>
      <c r="K61" s="190"/>
      <c r="L61" s="146"/>
      <c r="M61" s="146"/>
      <c r="N61" s="146"/>
      <c r="O61" s="123"/>
      <c r="P61" s="99"/>
      <c r="Q61" s="99"/>
    </row>
    <row r="62" spans="1:17" ht="15">
      <c r="A62" s="81" t="s">
        <v>69</v>
      </c>
      <c r="B62" s="111">
        <v>0</v>
      </c>
      <c r="C62" s="196">
        <f>'2a Tarievenblad'!F69</f>
        <v>30.63</v>
      </c>
      <c r="D62" s="196">
        <f>ROUND(C62*$B$5,2)</f>
        <v>28.7</v>
      </c>
      <c r="E62" s="197">
        <f>FLOOR((C62*$E$11)-(C62-C62*$B$12),0.01)</f>
        <v>32.36</v>
      </c>
      <c r="F62" s="124"/>
      <c r="G62" s="375"/>
      <c r="H62" s="148"/>
      <c r="I62" s="188"/>
      <c r="J62" s="189"/>
      <c r="K62" s="190"/>
      <c r="L62" s="146"/>
      <c r="M62" s="146"/>
      <c r="N62" s="146"/>
      <c r="O62" s="123"/>
      <c r="P62" s="191"/>
      <c r="Q62" s="99"/>
    </row>
    <row r="63" spans="1:17" ht="15">
      <c r="A63" s="80"/>
      <c r="B63" s="122"/>
      <c r="C63" s="112"/>
      <c r="D63" s="112"/>
      <c r="E63" s="151"/>
      <c r="H63" s="148"/>
      <c r="I63" s="148"/>
      <c r="J63" s="189"/>
      <c r="K63" s="190"/>
      <c r="L63" s="146"/>
      <c r="M63" s="146"/>
      <c r="N63" s="146"/>
      <c r="O63" s="123"/>
      <c r="P63" s="99"/>
      <c r="Q63" s="99"/>
    </row>
    <row r="64" spans="1:17" ht="15">
      <c r="A64" s="82" t="s">
        <v>70</v>
      </c>
      <c r="B64" s="111">
        <v>0</v>
      </c>
      <c r="C64" s="110"/>
      <c r="D64" s="110"/>
      <c r="E64" s="151"/>
      <c r="H64" s="148"/>
      <c r="I64" s="148"/>
      <c r="J64" s="189"/>
      <c r="K64" s="190"/>
      <c r="L64" s="146"/>
      <c r="M64" s="146"/>
      <c r="N64" s="146"/>
      <c r="O64" s="123"/>
      <c r="P64" s="121"/>
      <c r="Q64" s="121"/>
    </row>
    <row r="65" spans="1:17" ht="15">
      <c r="A65" s="80" t="s">
        <v>71</v>
      </c>
      <c r="B65" s="111">
        <v>0</v>
      </c>
      <c r="C65" s="110"/>
      <c r="D65" s="110"/>
      <c r="E65" s="151"/>
      <c r="H65" s="148"/>
      <c r="I65" s="148"/>
      <c r="J65" s="189"/>
      <c r="K65" s="190"/>
      <c r="L65" s="146"/>
      <c r="M65" s="146"/>
      <c r="N65" s="146"/>
      <c r="O65" s="123"/>
      <c r="P65" s="99"/>
      <c r="Q65" s="99"/>
    </row>
    <row r="66" spans="1:17" ht="15">
      <c r="A66" s="80" t="s">
        <v>72</v>
      </c>
      <c r="B66" s="111">
        <v>0</v>
      </c>
      <c r="C66" s="110"/>
      <c r="D66" s="110"/>
      <c r="E66" s="151"/>
      <c r="H66" s="148"/>
      <c r="I66" s="148"/>
      <c r="J66" s="189"/>
      <c r="K66" s="190"/>
      <c r="L66" s="146"/>
      <c r="M66" s="146"/>
      <c r="N66" s="146"/>
      <c r="O66" s="123"/>
      <c r="P66" s="99"/>
      <c r="Q66" s="99"/>
    </row>
    <row r="67" spans="1:17" ht="15">
      <c r="A67" s="81" t="s">
        <v>73</v>
      </c>
      <c r="B67" s="111">
        <v>0</v>
      </c>
      <c r="C67" s="118"/>
      <c r="D67" s="118"/>
      <c r="E67" s="152"/>
      <c r="H67" s="148"/>
      <c r="I67" s="148"/>
      <c r="J67" s="189"/>
      <c r="K67" s="190"/>
      <c r="L67" s="146"/>
      <c r="M67" s="146"/>
      <c r="N67" s="146"/>
      <c r="O67" s="123"/>
      <c r="P67" s="99"/>
      <c r="Q67" s="99"/>
    </row>
    <row r="68" spans="1:17" ht="15">
      <c r="A68" s="80"/>
      <c r="B68" s="122"/>
      <c r="C68" s="112"/>
      <c r="D68" s="112"/>
      <c r="E68" s="151"/>
      <c r="H68" s="148"/>
      <c r="I68" s="148"/>
      <c r="J68" s="189"/>
      <c r="K68" s="190"/>
      <c r="L68" s="146"/>
      <c r="M68" s="146"/>
      <c r="N68" s="146"/>
      <c r="O68" s="123"/>
      <c r="P68" s="99"/>
      <c r="Q68" s="99"/>
    </row>
    <row r="69" spans="1:17" ht="15.75" thickBot="1">
      <c r="A69" s="83" t="s">
        <v>74</v>
      </c>
      <c r="B69" s="115">
        <v>0</v>
      </c>
      <c r="C69" s="114"/>
      <c r="D69" s="114"/>
      <c r="E69" s="153"/>
      <c r="H69" s="148"/>
      <c r="I69" s="148"/>
      <c r="J69" s="189"/>
      <c r="K69" s="190"/>
      <c r="L69" s="146"/>
      <c r="M69" s="146"/>
      <c r="N69" s="146"/>
      <c r="O69" s="123"/>
      <c r="P69" s="99"/>
      <c r="Q69" s="99"/>
    </row>
    <row r="70" spans="8:17" ht="15.75" thickBot="1">
      <c r="H70" s="148"/>
      <c r="I70" s="148"/>
      <c r="J70" s="189"/>
      <c r="K70" s="190"/>
      <c r="L70" s="146"/>
      <c r="M70" s="146"/>
      <c r="N70" s="146"/>
      <c r="O70" s="123"/>
      <c r="P70" s="121"/>
      <c r="Q70" s="121"/>
    </row>
    <row r="71" spans="1:17" ht="15">
      <c r="A71" s="177" t="s">
        <v>146</v>
      </c>
      <c r="B71" s="178"/>
      <c r="C71" s="178"/>
      <c r="D71" s="178"/>
      <c r="E71" s="179"/>
      <c r="H71" s="148"/>
      <c r="I71" s="148"/>
      <c r="J71" s="189"/>
      <c r="K71" s="190"/>
      <c r="L71" s="146"/>
      <c r="M71" s="146"/>
      <c r="N71" s="146"/>
      <c r="O71" s="123"/>
      <c r="P71" s="99"/>
      <c r="Q71" s="99"/>
    </row>
    <row r="72" spans="1:17" ht="15">
      <c r="A72" s="180"/>
      <c r="B72" s="176"/>
      <c r="C72" s="176"/>
      <c r="D72" s="176"/>
      <c r="E72" s="181"/>
      <c r="H72" s="148"/>
      <c r="I72" s="148"/>
      <c r="J72" s="189"/>
      <c r="K72" s="190"/>
      <c r="L72" s="146"/>
      <c r="M72" s="146"/>
      <c r="N72" s="146"/>
      <c r="O72" s="123"/>
      <c r="P72" s="99"/>
      <c r="Q72" s="99"/>
    </row>
    <row r="73" spans="1:5" ht="15">
      <c r="A73" s="180" t="s">
        <v>147</v>
      </c>
      <c r="B73" s="176"/>
      <c r="C73" s="176"/>
      <c r="D73" s="176"/>
      <c r="E73" s="181"/>
    </row>
    <row r="74" spans="1:5" ht="15">
      <c r="A74" s="180" t="s">
        <v>148</v>
      </c>
      <c r="B74" s="176"/>
      <c r="C74" s="176"/>
      <c r="D74" s="176"/>
      <c r="E74" s="181"/>
    </row>
    <row r="75" spans="1:5" ht="15">
      <c r="A75" s="180" t="s">
        <v>178</v>
      </c>
      <c r="B75" s="176"/>
      <c r="C75" s="176"/>
      <c r="D75" s="176"/>
      <c r="E75" s="181"/>
    </row>
    <row r="76" spans="1:5" ht="15">
      <c r="A76" s="180" t="s">
        <v>180</v>
      </c>
      <c r="B76" s="182"/>
      <c r="C76" s="182"/>
      <c r="D76" s="182"/>
      <c r="E76" s="183"/>
    </row>
    <row r="77" spans="1:5" ht="15">
      <c r="A77" s="180" t="s">
        <v>179</v>
      </c>
      <c r="B77" s="182"/>
      <c r="C77" s="182"/>
      <c r="D77" s="182"/>
      <c r="E77" s="183"/>
    </row>
    <row r="78" spans="1:5" ht="15">
      <c r="A78" s="180" t="s">
        <v>181</v>
      </c>
      <c r="B78" s="182"/>
      <c r="C78" s="182"/>
      <c r="D78" s="182"/>
      <c r="E78" s="183"/>
    </row>
    <row r="79" spans="1:5" ht="15">
      <c r="A79" s="180" t="s">
        <v>149</v>
      </c>
      <c r="B79" s="182"/>
      <c r="C79" s="182"/>
      <c r="D79" s="182"/>
      <c r="E79" s="183"/>
    </row>
    <row r="80" spans="1:5" ht="15">
      <c r="A80" s="180" t="s">
        <v>182</v>
      </c>
      <c r="B80" s="182"/>
      <c r="C80" s="182"/>
      <c r="D80" s="182"/>
      <c r="E80" s="183"/>
    </row>
    <row r="81" spans="1:5" ht="15">
      <c r="A81" s="180" t="s">
        <v>183</v>
      </c>
      <c r="B81" s="182"/>
      <c r="C81" s="182"/>
      <c r="D81" s="182"/>
      <c r="E81" s="183"/>
    </row>
    <row r="82" spans="1:5" ht="15">
      <c r="A82" s="180" t="s">
        <v>150</v>
      </c>
      <c r="B82" s="182"/>
      <c r="C82" s="182"/>
      <c r="D82" s="182"/>
      <c r="E82" s="183"/>
    </row>
    <row r="83" spans="1:5" ht="15.75" thickBot="1">
      <c r="A83" s="184" t="s">
        <v>184</v>
      </c>
      <c r="B83" s="185"/>
      <c r="C83" s="185"/>
      <c r="D83" s="185"/>
      <c r="E83" s="18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T113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5"/>
  <cols>
    <col min="1" max="1" width="57.00390625" style="1" customWidth="1"/>
    <col min="2" max="2" width="11.7109375" style="1" customWidth="1"/>
    <col min="3" max="38" width="12.00390625" style="1" customWidth="1"/>
    <col min="39" max="45" width="9.8515625" style="1" customWidth="1"/>
    <col min="46" max="16384" width="9.140625" style="1" customWidth="1"/>
  </cols>
  <sheetData>
    <row r="1" spans="1:45" ht="14.25">
      <c r="A1" s="8"/>
      <c r="B1" s="6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">
      <c r="A2" s="9" t="s">
        <v>60</v>
      </c>
      <c r="B2" s="9" t="s">
        <v>3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4.25">
      <c r="A3" s="8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6" ht="15">
      <c r="A4" s="25" t="s">
        <v>56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4.25">
      <c r="A5" s="1" t="s">
        <v>15</v>
      </c>
      <c r="B5" s="59">
        <f>CAPEX2009!B25</f>
        <v>698.0383467866582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4.25">
      <c r="A6" s="1" t="s">
        <v>48</v>
      </c>
      <c r="B6" s="59">
        <f>CAPEX2009!B26</f>
        <v>672.5568518791422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4.25">
      <c r="A7" s="1" t="s">
        <v>49</v>
      </c>
      <c r="B7" s="59">
        <f>CAPEX2009!B27</f>
        <v>110.7706116005128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4.25">
      <c r="A8" s="1" t="s">
        <v>17</v>
      </c>
      <c r="B8" s="59">
        <f>CAPEX2009!B28</f>
        <v>50.74635174749881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>
      <c r="A9" s="1" t="s">
        <v>50</v>
      </c>
      <c r="B9" s="59">
        <f>CAPEX2009!B29</f>
        <v>17.573656433737945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4.25">
      <c r="A10" s="1" t="s">
        <v>51</v>
      </c>
      <c r="B10" s="59">
        <f>CAPEX2009!B30</f>
        <v>1.5407996837961542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>
      <c r="A11" s="27" t="s">
        <v>55</v>
      </c>
      <c r="B11" s="28">
        <f>SUM(B5:B10)</f>
        <v>1551.2266181313462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3:46" ht="14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">
      <c r="A13" s="25" t="s">
        <v>59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4.25">
      <c r="A14" s="96" t="s">
        <v>15</v>
      </c>
      <c r="B14" s="97">
        <v>0.25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4.25">
      <c r="A15" s="96" t="s">
        <v>48</v>
      </c>
      <c r="B15" s="97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4.25">
      <c r="A16" s="96" t="s">
        <v>49</v>
      </c>
      <c r="B16" s="97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4.25">
      <c r="A17" s="96" t="s">
        <v>17</v>
      </c>
      <c r="B17" s="97">
        <v>0.25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4.25">
      <c r="A18" s="96" t="s">
        <v>50</v>
      </c>
      <c r="B18" s="97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4.25">
      <c r="A19" s="96" t="s">
        <v>51</v>
      </c>
      <c r="B19" s="97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3:46" ht="14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5">
      <c r="A21" s="25" t="s">
        <v>61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4.25">
      <c r="A22" s="1" t="s">
        <v>62</v>
      </c>
      <c r="B22" s="59">
        <f>B5*B14+B6*B15+B7*B16</f>
        <v>174.50958669666454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4.25">
      <c r="A23" s="1" t="s">
        <v>63</v>
      </c>
      <c r="B23" s="59">
        <f>B8*B17+B9*B18+B10*B19</f>
        <v>12.686587936874702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5">
      <c r="A24" s="27" t="s">
        <v>64</v>
      </c>
      <c r="B24" s="28">
        <f>SUM(B22:B23)</f>
        <v>187.19617463353924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3:46" ht="14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5">
      <c r="A26" s="25" t="s">
        <v>103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4.25">
      <c r="A27" s="1" t="s">
        <v>104</v>
      </c>
      <c r="B27" s="92">
        <f>SUM('PAV 2011'!B83:B93)/1000</f>
        <v>4173.75807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4.25">
      <c r="A28" s="1" t="s">
        <v>105</v>
      </c>
      <c r="B28" s="92">
        <f>SUM('PAV 2011'!B96:B118)/1000</f>
        <v>151.08708000000001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4.25">
      <c r="A29" s="1" t="s">
        <v>106</v>
      </c>
      <c r="B29" s="92">
        <f>(SUM('EAV 2011'!B109:B119)+SUM('EAV 2011'!B147:B157))/1000</f>
        <v>1297.7992768666888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4.25">
      <c r="A30" s="1" t="s">
        <v>107</v>
      </c>
      <c r="B30" s="92">
        <f>SUM('EAV 2011'!B122:B144)/1000</f>
        <v>40.4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">
      <c r="A31" s="27" t="s">
        <v>4</v>
      </c>
      <c r="B31" s="93">
        <f>SUM(B27:B30)</f>
        <v>5663.044426866689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3:46" ht="14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">
      <c r="A33" s="25" t="s">
        <v>108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4.25">
      <c r="A34" s="1" t="s">
        <v>104</v>
      </c>
      <c r="B34" s="59">
        <f>B27-B22</f>
        <v>3999.2484833033354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4.25">
      <c r="A35" s="1" t="s">
        <v>105</v>
      </c>
      <c r="B35" s="59">
        <f>B28-B23</f>
        <v>138.4004920631253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4.25">
      <c r="A36" s="1" t="s">
        <v>106</v>
      </c>
      <c r="B36" s="59">
        <f>B29+B22</f>
        <v>1472.3088635633535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4.25">
      <c r="A37" s="1" t="s">
        <v>107</v>
      </c>
      <c r="B37" s="59">
        <f>B30+B23</f>
        <v>53.0865879368747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5">
      <c r="A38" s="27" t="s">
        <v>4</v>
      </c>
      <c r="B38" s="28">
        <f>SUM(B34:B37)</f>
        <v>5663.04442686669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3:46" ht="14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">
      <c r="A40" s="25" t="s">
        <v>109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4.25">
      <c r="A41" s="1" t="s">
        <v>104</v>
      </c>
      <c r="B41" s="94">
        <f>(B34-B27)/B27</f>
        <v>-0.04181114088787241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4.25">
      <c r="A42" s="1" t="s">
        <v>105</v>
      </c>
      <c r="B42" s="94">
        <f>(B35-B28)/B28</f>
        <v>-0.08396871484229294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4.25">
      <c r="A43" s="1" t="s">
        <v>106</v>
      </c>
      <c r="B43" s="94">
        <f>(B36-B29)/B29</f>
        <v>0.13446577587713546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4.25">
      <c r="A44" s="1" t="s">
        <v>107</v>
      </c>
      <c r="B44" s="94">
        <f>(B37-B30)/B30</f>
        <v>0.3140244538830372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3:46" ht="14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5">
      <c r="A46" s="25" t="s">
        <v>110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4.25">
      <c r="A47" s="1" t="s">
        <v>111</v>
      </c>
      <c r="B47" s="95">
        <f>'PAV 2011'!B5</f>
        <v>22.080000000000002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4.25">
      <c r="A48" s="1" t="s">
        <v>112</v>
      </c>
      <c r="B48" s="95">
        <f>B47*(1+B41)</f>
        <v>21.15681000919578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46" ht="14.25">
      <c r="B49" s="9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4.25">
      <c r="A50" s="1" t="s">
        <v>113</v>
      </c>
      <c r="B50" s="95">
        <f>'EAV 2011'!B5</f>
        <v>680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4.25">
      <c r="A51" s="1" t="s">
        <v>114</v>
      </c>
      <c r="B51" s="95">
        <f>B50*(1+B43)</f>
        <v>771.4367275964521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2:46" ht="14.25">
      <c r="B52" s="9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4.25">
      <c r="A53" s="1" t="s">
        <v>115</v>
      </c>
      <c r="B53" s="95">
        <f>'PAV 2011'!B19</f>
        <v>69.72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4.25">
      <c r="A54" s="1" t="s">
        <v>116</v>
      </c>
      <c r="B54" s="95">
        <f>B53*(1+B42)</f>
        <v>63.865701201195336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2:46" ht="14.25">
      <c r="B55" s="9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4.25">
      <c r="A56" s="1" t="s">
        <v>117</v>
      </c>
      <c r="B56" s="95">
        <f>'EAV 2011'!B19</f>
        <v>1600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4.25">
      <c r="A57" s="1" t="s">
        <v>118</v>
      </c>
      <c r="B57" s="95">
        <f>B56*(1+B44)</f>
        <v>2102.4391262128597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3:46" ht="14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">
      <c r="A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3:46" ht="14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3:46" ht="14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3:46" ht="14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3:46" ht="14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3:46" ht="14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3:46" ht="14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3:46" ht="14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3:46" ht="14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3:46" ht="14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3:46" ht="14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3:46" ht="14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3:46" ht="14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3:46" ht="14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3:46" ht="14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3:46" ht="14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3:46" ht="14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3:46" ht="14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3:46" ht="14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3:46" ht="14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3:46" ht="14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3:46" ht="14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3:46" ht="14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3:46" ht="14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3:46" ht="14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3:46" ht="14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3:46" ht="14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3:46" ht="14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3:46" ht="14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3:46" ht="14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3:46" ht="14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3:46" ht="14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3:46" ht="14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3:46" ht="14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3:46" ht="14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3:46" ht="14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3:46" ht="14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3:46" ht="14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3:46" ht="14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3:46" ht="14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3:46" ht="14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3:46" ht="14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3:46" ht="14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3:46" ht="14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3:46" ht="14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3:46" ht="14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3:46" ht="14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3:46" ht="14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3:46" ht="14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3:46" ht="14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3:46" ht="14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3:46" ht="14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3:46" ht="14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3:46" ht="14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3:46" ht="14.25"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4" r:id="rId1"/>
  <headerFooter alignWithMargins="0">
    <oddFooter>&amp;R&amp;A in
&amp;F</oddFooter>
  </headerFooter>
  <rowBreaks count="1" manualBreakCount="1">
    <brk id="62" max="255" man="1"/>
  </rowBreaks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S134"/>
  <sheetViews>
    <sheetView zoomScale="75" zoomScaleNormal="75" zoomScalePageLayoutView="0" workbookViewId="0" topLeftCell="A1">
      <selection activeCell="D37" sqref="D37"/>
    </sheetView>
  </sheetViews>
  <sheetFormatPr defaultColWidth="9.140625" defaultRowHeight="15"/>
  <cols>
    <col min="1" max="1" width="57.00390625" style="1" customWidth="1"/>
    <col min="2" max="2" width="11.7109375" style="1" customWidth="1"/>
    <col min="3" max="37" width="12.00390625" style="1" customWidth="1"/>
    <col min="38" max="44" width="9.8515625" style="1" customWidth="1"/>
    <col min="45" max="16384" width="9.140625" style="1" customWidth="1"/>
  </cols>
  <sheetData>
    <row r="1" spans="1:44" ht="14.25">
      <c r="A1" s="8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15">
      <c r="B2" s="9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4.25">
      <c r="A3" s="8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>
      <c r="A4" s="62" t="s">
        <v>60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4.25">
      <c r="A5" s="8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5" ht="15">
      <c r="A6" s="25" t="s">
        <v>47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>
      <c r="A7" s="1" t="s">
        <v>15</v>
      </c>
      <c r="B7" s="26">
        <f>GAW2008!B24-GAW2008!B31</f>
        <v>6496.126746745549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>
      <c r="A8" s="1" t="s">
        <v>48</v>
      </c>
      <c r="B8" s="26">
        <f>GAW2008!B25-GAW2008!B32</f>
        <v>6258.989315288125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>
      <c r="A9" s="1" t="s">
        <v>49</v>
      </c>
      <c r="B9" s="26">
        <f>'2009'!D18-B18</f>
        <v>1477.1972797435894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>
      <c r="A10" s="1" t="s">
        <v>17</v>
      </c>
      <c r="B10" s="26">
        <f>GAW2008!B26-GAW2008!B33</f>
        <v>472.2587726078569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>
      <c r="A11" s="1" t="s">
        <v>50</v>
      </c>
      <c r="B11" s="26">
        <f>GAW2008!B27-GAW2008!B34</f>
        <v>163.54502603309425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>
      <c r="A12" s="1" t="s">
        <v>51</v>
      </c>
      <c r="B12" s="26">
        <f>'2009'!D30*0.385-B21</f>
        <v>20.54755380192308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7" t="s">
        <v>52</v>
      </c>
      <c r="B13" s="28">
        <f>SUM(B7:B12)</f>
        <v>14888.664694220139</v>
      </c>
      <c r="C13" s="2"/>
      <c r="D13" s="17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3:45" ht="14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5" t="s">
        <v>54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>
      <c r="A16" s="1" t="s">
        <v>15</v>
      </c>
      <c r="B16" s="26">
        <f>GAW2008!B31</f>
        <v>295.27848848843405</v>
      </c>
      <c r="C16" s="2"/>
      <c r="D16" s="5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>
      <c r="A17" s="1" t="s">
        <v>48</v>
      </c>
      <c r="B17" s="26">
        <f>GAW2008!B32</f>
        <v>284.4995143312784</v>
      </c>
      <c r="C17" s="2"/>
      <c r="D17" s="5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>
      <c r="A18" s="1" t="s">
        <v>49</v>
      </c>
      <c r="B18" s="26">
        <f>'2009'!D18/39*0.5</f>
        <v>19.184380256410254</v>
      </c>
      <c r="C18" s="2"/>
      <c r="D18" s="5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>
      <c r="A19" s="1" t="s">
        <v>17</v>
      </c>
      <c r="B19" s="26">
        <f>GAW2008!B33</f>
        <v>21.466307845811677</v>
      </c>
      <c r="C19" s="2"/>
      <c r="D19" s="5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>
      <c r="A20" s="1" t="s">
        <v>50</v>
      </c>
      <c r="B20" s="26">
        <f>GAW2008!B34</f>
        <v>7.433864819686102</v>
      </c>
      <c r="C20" s="2"/>
      <c r="D20" s="5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>
      <c r="A21" s="1" t="s">
        <v>51</v>
      </c>
      <c r="B21" s="26">
        <f>'2009'!D30*0.385/39*0.5</f>
        <v>0.2668513480769231</v>
      </c>
      <c r="C21" s="2"/>
      <c r="D21" s="5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7" t="s">
        <v>53</v>
      </c>
      <c r="B22" s="28">
        <f>SUM(B16:B21)</f>
        <v>628.1294070896973</v>
      </c>
      <c r="C22" s="2"/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3:45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5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4.25">
      <c r="A25" s="1" t="s">
        <v>15</v>
      </c>
      <c r="B25" s="59">
        <f aca="true" t="shared" si="0" ref="B25:B30">B7*0.062+B16</f>
        <v>698.0383467866582</v>
      </c>
      <c r="C25" s="2"/>
      <c r="D25" s="5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4.25">
      <c r="A26" s="1" t="s">
        <v>48</v>
      </c>
      <c r="B26" s="59">
        <f t="shared" si="0"/>
        <v>672.5568518791422</v>
      </c>
      <c r="C26" s="2"/>
      <c r="D26" s="5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4.25">
      <c r="A27" s="1" t="s">
        <v>49</v>
      </c>
      <c r="B27" s="59">
        <f t="shared" si="0"/>
        <v>110.7706116005128</v>
      </c>
      <c r="C27" s="2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4.25">
      <c r="A28" s="1" t="s">
        <v>17</v>
      </c>
      <c r="B28" s="59">
        <f t="shared" si="0"/>
        <v>50.74635174749881</v>
      </c>
      <c r="C28" s="2"/>
      <c r="D28" s="5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4.25">
      <c r="A29" s="1" t="s">
        <v>50</v>
      </c>
      <c r="B29" s="59">
        <f t="shared" si="0"/>
        <v>17.573656433737945</v>
      </c>
      <c r="C29" s="2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4.25">
      <c r="A30" s="1" t="s">
        <v>51</v>
      </c>
      <c r="B30" s="59">
        <f t="shared" si="0"/>
        <v>1.5407996837961542</v>
      </c>
      <c r="C30" s="2"/>
      <c r="D30" s="5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7" t="s">
        <v>55</v>
      </c>
      <c r="B31" s="28">
        <f>SUM(B25:B30)</f>
        <v>1551.2266181313462</v>
      </c>
      <c r="C31" s="2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3:45" ht="14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3:45" ht="14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3:45" ht="14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3:45" ht="14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3:45" ht="14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3:45" ht="14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3:45" ht="14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3:45" ht="14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3:45" ht="14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3:45" ht="14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3:45" ht="14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3:45" ht="14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3:45" ht="14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3:45" ht="14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3:45" ht="14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3:45" ht="14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3:45" ht="14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3:45" ht="14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3:45" ht="14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3:45" ht="14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3:45" ht="14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3:45" ht="14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3:45" ht="14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3:45" ht="14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3:45" ht="14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3:45" ht="14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3:45" ht="14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3:45" ht="14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3:45" ht="14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3:45" ht="14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3:45" ht="14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3:45" ht="14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3:45" ht="14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3:45" ht="14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3:45" ht="14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3:45" ht="14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3:45" ht="14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3:45" ht="14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3:45" ht="14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3:45" ht="14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3:45" ht="14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3:45" ht="14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3:45" ht="14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3:45" ht="14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3:45" ht="14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3:45" ht="14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3:45" ht="14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3:45" ht="14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3:45" ht="14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3:45" ht="14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3:45" ht="14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3:45" ht="14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3:45" ht="14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3:45" ht="14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3:45" ht="14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3:45" ht="14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3:45" ht="14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3:45" ht="14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3:45" ht="14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3:45" ht="14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3:45" ht="14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3:45" ht="14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3:45" ht="14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3:45" ht="14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3:45" ht="14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3:45" ht="14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3:45" ht="14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3:45" ht="14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3:45" ht="14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3:45" ht="14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3:45" ht="14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3:45" ht="14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3:45" ht="14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3:45" ht="14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3:45" ht="14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3:45" ht="14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3:45" ht="14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3:45" ht="14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3:45" ht="14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3:45" ht="14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3:45" ht="14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3:45" ht="14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3:45" ht="14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3:45" ht="14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3:45" ht="14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3:45" ht="14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3:45" ht="14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3:45" ht="14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3:45" ht="14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3:45" ht="14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3:45" ht="14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3:45" ht="14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3:45" ht="14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3:45" ht="14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3:45" ht="14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3:45" ht="14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3:45" ht="14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3:45" ht="14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3:45" ht="14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3:45" ht="14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3:45" ht="14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3:45" ht="14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4:45" ht="14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2" r:id="rId1"/>
  <headerFooter alignWithMargins="0">
    <oddFooter>&amp;R&amp;A in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F147"/>
  <sheetViews>
    <sheetView zoomScale="75" zoomScaleNormal="75" zoomScalePageLayoutView="0" workbookViewId="0" topLeftCell="A1">
      <selection activeCell="B24" sqref="B24:B33"/>
    </sheetView>
  </sheetViews>
  <sheetFormatPr defaultColWidth="9.140625" defaultRowHeight="15"/>
  <cols>
    <col min="1" max="1" width="57.00390625" style="1" customWidth="1"/>
    <col min="2" max="14" width="11.7109375" style="1" customWidth="1"/>
    <col min="15" max="50" width="12.00390625" style="1" customWidth="1"/>
    <col min="51" max="57" width="9.8515625" style="1" customWidth="1"/>
    <col min="58" max="16384" width="9.140625" style="1" customWidth="1"/>
  </cols>
  <sheetData>
    <row r="1" spans="5:58" ht="15">
      <c r="E1" s="60" t="s">
        <v>57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>
      <c r="A2" s="3" t="s">
        <v>0</v>
      </c>
      <c r="B2" s="4">
        <f>'[2]afschrijvingstermijn'!C8</f>
        <v>28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>
      <c r="A3" s="3" t="s">
        <v>1</v>
      </c>
      <c r="B3" s="4">
        <f>'[2]afschrijvingstermijn'!C5</f>
        <v>39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7" ht="15">
      <c r="A4" s="3" t="s">
        <v>2</v>
      </c>
      <c r="B4" s="5">
        <v>0.385</v>
      </c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4.25">
      <c r="A5" s="8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2:45" ht="15">
      <c r="B6" s="9" t="s">
        <v>3</v>
      </c>
      <c r="C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>
      <c r="A7" s="8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10" t="s">
        <v>5</v>
      </c>
      <c r="B8" s="11"/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>
      <c r="A9" s="8"/>
      <c r="B9" s="6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12" t="s">
        <v>6</v>
      </c>
      <c r="B10" s="13">
        <v>13334.894064853386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>
      <c r="A11" s="14" t="s">
        <v>7</v>
      </c>
      <c r="B11" s="15">
        <v>1726.503821575192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12" t="s">
        <v>8</v>
      </c>
      <c r="B12" s="16">
        <v>664.7039713064489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6" ht="15">
      <c r="A13" s="3" t="s">
        <v>9</v>
      </c>
      <c r="B13" s="17">
        <v>13999.598036159836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3:46" ht="14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">
      <c r="A15" s="18" t="s">
        <v>10</v>
      </c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3:46" ht="14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">
      <c r="A17" s="20" t="s">
        <v>11</v>
      </c>
      <c r="B17" s="21">
        <v>1992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">
      <c r="A18" s="20" t="s">
        <v>12</v>
      </c>
      <c r="B18" s="22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5">
      <c r="A19" s="20" t="s">
        <v>13</v>
      </c>
      <c r="B19" s="22">
        <v>2031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3:46" ht="14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14.25">
      <c r="B21" s="2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4.25">
      <c r="B22" s="2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5">
      <c r="A23" s="25" t="s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4.25">
      <c r="A24" s="1" t="s">
        <v>15</v>
      </c>
      <c r="B24" s="26">
        <v>6791.405235233983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4.25">
      <c r="A25" s="1" t="s">
        <v>16</v>
      </c>
      <c r="B25" s="26">
        <v>6543.488829619403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4.25">
      <c r="A26" s="1" t="s">
        <v>17</v>
      </c>
      <c r="B26" s="26">
        <v>493.72508045366857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4.25">
      <c r="A27" s="1" t="s">
        <v>18</v>
      </c>
      <c r="B27" s="26">
        <v>170.97889085278035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5">
      <c r="A28" s="27" t="s">
        <v>19</v>
      </c>
      <c r="B28" s="28">
        <v>13999.598036159836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3:46" ht="14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5">
      <c r="A30" s="25" t="s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4.25">
      <c r="A31" s="1" t="s">
        <v>15</v>
      </c>
      <c r="B31" s="26">
        <v>295.27848848843405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>
      <c r="A32" s="1" t="s">
        <v>16</v>
      </c>
      <c r="B32" s="26">
        <v>284.4995143312784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4.25">
      <c r="A33" s="1" t="s">
        <v>17</v>
      </c>
      <c r="B33" s="26">
        <v>21.466307845811677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4.25">
      <c r="A34" s="1" t="s">
        <v>18</v>
      </c>
      <c r="B34" s="26">
        <v>7.433864819686102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">
      <c r="A35" s="27" t="s">
        <v>21</v>
      </c>
      <c r="B35" s="28">
        <v>608.6781754852102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8:58" ht="14.2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8:58" ht="14.2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8:58" ht="14.2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8:58" ht="14.2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8:58" ht="14.2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8:58" ht="14.2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8:58" ht="14.2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8:58" ht="14.2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8:58" ht="14.2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8:58" ht="14.2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8:58" ht="14.2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8:58" ht="14.2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8:58" ht="14.2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8:58" ht="14.2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8:58" ht="14.2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8:58" ht="14.2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8:58" ht="14.2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8:58" ht="14.2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8:58" ht="14.2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8:58" ht="14.2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8:58" ht="14.2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8:58" ht="14.2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8:58" ht="14.2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8:58" ht="14.2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8:58" ht="14.2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8:58" ht="14.2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8:58" ht="14.2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8:58" ht="14.2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8:58" ht="14.2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8:58" ht="14.2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8:58" ht="14.2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8:58" ht="14.2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8:58" ht="14.2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8:58" ht="14.2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8:58" ht="14.2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8:58" ht="14.2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8:58" ht="14.2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8:58" ht="14.2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8:58" ht="14.2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8:58" ht="14.2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8:58" ht="14.2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8:58" ht="14.2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8:58" ht="14.2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8:58" ht="14.2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8:58" ht="14.2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8:58" ht="14.2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8:58" ht="14.2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8:58" ht="14.2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8:58" ht="14.2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8:58" ht="14.2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8:58" ht="14.2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8:58" ht="14.2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8:58" ht="14.2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8:58" ht="14.2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8:58" ht="14.2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8:58" ht="14.2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8:58" ht="14.2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8:58" ht="14.2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8:58" ht="14.2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8:58" ht="14.2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8:58" ht="14.2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8:58" ht="14.2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8:58" ht="14.2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8:58" ht="14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8:58" ht="14.2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8:58" ht="14.2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8:58" ht="14.2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8:58" ht="14.2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8:58" ht="14.2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8:58" ht="14.2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8:58" ht="14.2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8:58" ht="14.2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8:58" ht="14.2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8:58" ht="14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8:58" ht="14.2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8:58" ht="14.2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8:58" ht="14.2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8:58" ht="14.2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8:58" ht="14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8:58" ht="14.2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8:58" ht="14.2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8:58" ht="14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8:58" ht="14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8:58" ht="14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8:58" ht="14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8:58" ht="14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8:58" ht="14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8:58" ht="14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8:58" ht="14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8:58" ht="14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8:58" ht="14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8:58" ht="14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8:58" ht="14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8:58" ht="14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8:58" ht="14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8:58" ht="14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8:58" ht="14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8:58" ht="14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8:58" ht="14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8:58" ht="14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8:58" ht="14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8:58" ht="14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8:58" ht="14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8:58" ht="14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8:58" ht="14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8:58" ht="14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8:58" ht="14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8:58" ht="14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8:58" ht="14.25">
      <c r="H144" s="2"/>
      <c r="I144" s="2"/>
      <c r="J144" s="2"/>
      <c r="K144" s="2"/>
      <c r="L144" s="2"/>
      <c r="M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8:58" ht="14.25">
      <c r="H145" s="2"/>
      <c r="I145" s="2"/>
      <c r="J145" s="2"/>
      <c r="K145" s="2"/>
      <c r="L145" s="2"/>
      <c r="M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8:58" ht="14.25">
      <c r="H146" s="2"/>
      <c r="I146" s="2"/>
      <c r="J146" s="2"/>
      <c r="K146" s="2"/>
      <c r="L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8:58" ht="14.25">
      <c r="H147" s="2"/>
      <c r="I147" s="2"/>
      <c r="J147" s="2"/>
      <c r="K147" s="2"/>
      <c r="L147" s="2"/>
      <c r="O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2" r:id="rId1"/>
  <headerFooter alignWithMargins="0">
    <oddFooter>&amp;R&amp;A in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C1">
      <selection activeCell="L13" sqref="L13"/>
    </sheetView>
  </sheetViews>
  <sheetFormatPr defaultColWidth="9.140625" defaultRowHeight="15"/>
  <cols>
    <col min="1" max="1" width="13.8515625" style="29" bestFit="1" customWidth="1"/>
    <col min="2" max="2" width="47.57421875" style="29" customWidth="1"/>
    <col min="3" max="3" width="7.28125" style="29" bestFit="1" customWidth="1"/>
    <col min="4" max="9" width="12.00390625" style="29" customWidth="1"/>
    <col min="10" max="10" width="14.421875" style="29" customWidth="1"/>
    <col min="11" max="15" width="12.00390625" style="29" customWidth="1"/>
    <col min="16" max="16" width="13.421875" style="29" customWidth="1"/>
    <col min="17" max="16384" width="9.140625" style="29" customWidth="1"/>
  </cols>
  <sheetData>
    <row r="1" ht="12.75">
      <c r="F1" s="61" t="s">
        <v>58</v>
      </c>
    </row>
    <row r="2" spans="2:4" ht="15">
      <c r="B2" s="30" t="s">
        <v>22</v>
      </c>
      <c r="C2" s="30"/>
      <c r="D2" s="31"/>
    </row>
    <row r="3" spans="2:4" ht="15">
      <c r="B3" s="34" t="s">
        <v>23</v>
      </c>
      <c r="C3" s="34"/>
      <c r="D3" s="35" t="s">
        <v>24</v>
      </c>
    </row>
    <row r="4" spans="2:4" ht="15">
      <c r="B4" s="34" t="s">
        <v>25</v>
      </c>
      <c r="C4" s="34"/>
      <c r="D4" s="36">
        <v>2009</v>
      </c>
    </row>
    <row r="5" spans="2:4" ht="15">
      <c r="B5" s="34"/>
      <c r="C5" s="34"/>
      <c r="D5" s="36" t="str">
        <f>D3&amp;D4</f>
        <v>DELTA2009</v>
      </c>
    </row>
    <row r="6" spans="2:4" ht="15">
      <c r="B6" s="34"/>
      <c r="C6" s="34"/>
      <c r="D6" s="36">
        <f>COLUMN(D:D)</f>
        <v>4</v>
      </c>
    </row>
    <row r="7" spans="1:4" ht="15">
      <c r="A7" s="39" t="s">
        <v>26</v>
      </c>
      <c r="B7" s="40" t="s">
        <v>27</v>
      </c>
      <c r="C7" s="34" t="s">
        <v>28</v>
      </c>
      <c r="D7" s="41"/>
    </row>
    <row r="8" spans="1:4" ht="15">
      <c r="A8" s="33">
        <v>2008</v>
      </c>
      <c r="B8" s="37"/>
      <c r="C8" s="30"/>
      <c r="D8" s="37"/>
    </row>
    <row r="9" spans="1:4" ht="15">
      <c r="A9" s="43" t="str">
        <f>RIGHT(A$8,2)&amp;"StartGaW"</f>
        <v>08StartGaW</v>
      </c>
      <c r="B9" s="37" t="s">
        <v>29</v>
      </c>
      <c r="C9" s="34"/>
      <c r="D9" s="44">
        <v>13999.598036159836</v>
      </c>
    </row>
    <row r="10" spans="1:4" ht="15">
      <c r="A10" s="43" t="str">
        <f>RIGHT(A$8,2)&amp;"StartAf"</f>
        <v>08StartAf</v>
      </c>
      <c r="B10" s="37" t="s">
        <v>30</v>
      </c>
      <c r="C10" s="34"/>
      <c r="D10" s="45">
        <f>D9/D15</f>
        <v>608.6781754852102</v>
      </c>
    </row>
    <row r="11" spans="1:4" ht="15">
      <c r="A11" s="43" t="str">
        <f>RIGHT(A$8,2)&amp;"StartDes"</f>
        <v>08StartDes</v>
      </c>
      <c r="B11" s="37" t="s">
        <v>31</v>
      </c>
      <c r="C11" s="46"/>
      <c r="D11" s="47">
        <v>0</v>
      </c>
    </row>
    <row r="12" spans="1:4" ht="15">
      <c r="A12" s="43" t="str">
        <f>RIGHT(A$8,2)&amp;"StartCADDes"</f>
        <v>08StartCADDes</v>
      </c>
      <c r="B12" s="37" t="s">
        <v>32</v>
      </c>
      <c r="C12" s="46"/>
      <c r="D12" s="47">
        <v>0</v>
      </c>
    </row>
    <row r="13" spans="1:4" ht="15">
      <c r="A13" s="43"/>
      <c r="B13" s="37"/>
      <c r="C13" s="46"/>
      <c r="D13" s="48"/>
    </row>
    <row r="14" spans="1:4" ht="15">
      <c r="A14" s="43"/>
      <c r="B14" s="37" t="s">
        <v>33</v>
      </c>
      <c r="C14" s="49">
        <v>39</v>
      </c>
      <c r="D14" s="47">
        <v>1992</v>
      </c>
    </row>
    <row r="15" spans="1:4" ht="15">
      <c r="A15" s="43" t="s">
        <v>34</v>
      </c>
      <c r="B15" s="37" t="s">
        <v>35</v>
      </c>
      <c r="C15" s="46"/>
      <c r="D15" s="50">
        <f>D14+$C$14-2008</f>
        <v>23</v>
      </c>
    </row>
    <row r="16" spans="1:4" ht="15">
      <c r="A16" s="34"/>
      <c r="B16" s="37"/>
      <c r="C16" s="40"/>
      <c r="D16" s="51"/>
    </row>
    <row r="17" spans="1:4" ht="15">
      <c r="A17" s="30">
        <v>2009</v>
      </c>
      <c r="B17" s="52" t="s">
        <v>36</v>
      </c>
      <c r="C17" s="30"/>
      <c r="D17" s="53"/>
    </row>
    <row r="18" spans="1:4" ht="15">
      <c r="A18" s="43"/>
      <c r="B18" s="37" t="s">
        <v>37</v>
      </c>
      <c r="C18" s="49">
        <v>39</v>
      </c>
      <c r="D18" s="47">
        <v>1496.3816599999998</v>
      </c>
    </row>
    <row r="19" spans="1:4" ht="15">
      <c r="A19" s="43"/>
      <c r="B19" s="37" t="s">
        <v>38</v>
      </c>
      <c r="C19" s="49">
        <v>39</v>
      </c>
      <c r="D19" s="47"/>
    </row>
    <row r="20" spans="1:4" ht="15">
      <c r="A20" s="43"/>
      <c r="B20" s="37" t="s">
        <v>39</v>
      </c>
      <c r="C20" s="49">
        <v>39</v>
      </c>
      <c r="D20" s="47"/>
    </row>
    <row r="21" spans="1:4" ht="15">
      <c r="A21" s="43"/>
      <c r="B21" s="37" t="s">
        <v>40</v>
      </c>
      <c r="C21" s="49" t="s">
        <v>41</v>
      </c>
      <c r="D21" s="47"/>
    </row>
    <row r="22" spans="1:4" ht="15">
      <c r="A22" s="34"/>
      <c r="B22" s="37"/>
      <c r="C22" s="34"/>
      <c r="D22" s="48"/>
    </row>
    <row r="23" spans="1:4" ht="15">
      <c r="A23" s="30">
        <v>2010</v>
      </c>
      <c r="B23" s="32"/>
      <c r="C23" s="30"/>
      <c r="D23" s="53"/>
    </row>
    <row r="24" spans="1:4" ht="15">
      <c r="A24" s="43"/>
      <c r="B24" s="37" t="s">
        <v>37</v>
      </c>
      <c r="C24" s="49">
        <v>39</v>
      </c>
      <c r="D24" s="48"/>
    </row>
    <row r="25" spans="1:4" ht="15">
      <c r="A25" s="43"/>
      <c r="B25" s="37" t="s">
        <v>38</v>
      </c>
      <c r="C25" s="49">
        <v>39</v>
      </c>
      <c r="D25" s="48"/>
    </row>
    <row r="26" spans="1:4" ht="15">
      <c r="A26" s="43"/>
      <c r="B26" s="37" t="s">
        <v>39</v>
      </c>
      <c r="C26" s="49">
        <v>39</v>
      </c>
      <c r="D26" s="48"/>
    </row>
    <row r="27" spans="1:4" ht="15">
      <c r="A27" s="43"/>
      <c r="B27" s="37" t="s">
        <v>40</v>
      </c>
      <c r="C27" s="49" t="s">
        <v>41</v>
      </c>
      <c r="D27" s="48"/>
    </row>
    <row r="28" spans="1:4" ht="15">
      <c r="A28" s="40"/>
      <c r="B28" s="42"/>
      <c r="C28" s="40"/>
      <c r="D28" s="54"/>
    </row>
    <row r="29" spans="1:4" ht="15">
      <c r="A29" s="30">
        <v>2009</v>
      </c>
      <c r="B29" s="52" t="s">
        <v>42</v>
      </c>
      <c r="C29" s="34"/>
      <c r="D29" s="53"/>
    </row>
    <row r="30" spans="1:4" ht="15">
      <c r="A30" s="43"/>
      <c r="B30" s="37" t="s">
        <v>37</v>
      </c>
      <c r="C30" s="49">
        <v>39</v>
      </c>
      <c r="D30" s="55">
        <v>54.063390000000005</v>
      </c>
    </row>
    <row r="31" spans="1:4" ht="15">
      <c r="A31" s="43"/>
      <c r="B31" s="37" t="s">
        <v>38</v>
      </c>
      <c r="C31" s="49">
        <v>39</v>
      </c>
      <c r="D31" s="47"/>
    </row>
    <row r="32" spans="1:4" ht="15">
      <c r="A32" s="43"/>
      <c r="B32" s="37" t="s">
        <v>39</v>
      </c>
      <c r="C32" s="49">
        <v>39</v>
      </c>
      <c r="D32" s="47"/>
    </row>
    <row r="33" spans="1:4" ht="15">
      <c r="A33" s="43"/>
      <c r="B33" s="37" t="s">
        <v>40</v>
      </c>
      <c r="C33" s="49" t="s">
        <v>41</v>
      </c>
      <c r="D33" s="47"/>
    </row>
    <row r="34" spans="1:4" ht="15">
      <c r="A34" s="34"/>
      <c r="B34" s="37"/>
      <c r="C34" s="34"/>
      <c r="D34" s="48"/>
    </row>
    <row r="35" spans="1:4" ht="15">
      <c r="A35" s="30">
        <v>2010</v>
      </c>
      <c r="B35" s="32"/>
      <c r="C35" s="30"/>
      <c r="D35" s="53"/>
    </row>
    <row r="36" spans="1:4" ht="15">
      <c r="A36" s="43"/>
      <c r="B36" s="37" t="s">
        <v>37</v>
      </c>
      <c r="C36" s="49">
        <v>39</v>
      </c>
      <c r="D36" s="48"/>
    </row>
    <row r="37" spans="1:4" ht="15">
      <c r="A37" s="43"/>
      <c r="B37" s="37" t="s">
        <v>38</v>
      </c>
      <c r="C37" s="49">
        <v>39</v>
      </c>
      <c r="D37" s="48"/>
    </row>
    <row r="38" spans="1:4" ht="15">
      <c r="A38" s="43"/>
      <c r="B38" s="37" t="s">
        <v>39</v>
      </c>
      <c r="C38" s="49">
        <v>39</v>
      </c>
      <c r="D38" s="48"/>
    </row>
    <row r="39" spans="1:4" ht="15">
      <c r="A39" s="43"/>
      <c r="B39" s="37" t="s">
        <v>40</v>
      </c>
      <c r="C39" s="49" t="s">
        <v>41</v>
      </c>
      <c r="D39" s="48"/>
    </row>
    <row r="40" spans="1:4" ht="15">
      <c r="A40" s="40"/>
      <c r="B40" s="42"/>
      <c r="C40" s="40"/>
      <c r="D40" s="54"/>
    </row>
    <row r="41" spans="1:4" ht="15">
      <c r="A41" s="30">
        <v>2009</v>
      </c>
      <c r="B41" s="52" t="s">
        <v>4</v>
      </c>
      <c r="C41" s="34"/>
      <c r="D41" s="53"/>
    </row>
    <row r="42" spans="1:4" ht="15">
      <c r="A42" s="38"/>
      <c r="B42" s="56" t="s">
        <v>43</v>
      </c>
      <c r="C42" s="57">
        <v>0.385</v>
      </c>
      <c r="D42" s="48"/>
    </row>
    <row r="43" spans="1:4" ht="15">
      <c r="A43" s="43" t="str">
        <f>RIGHT(A41,2)&amp;"Inv"&amp;C43</f>
        <v>09Inv39</v>
      </c>
      <c r="B43" s="56" t="s">
        <v>44</v>
      </c>
      <c r="C43" s="49">
        <v>39</v>
      </c>
      <c r="D43" s="58">
        <f>D18+$C$42*D30</f>
        <v>1517.1960651499999</v>
      </c>
    </row>
    <row r="44" spans="1:4" ht="15">
      <c r="A44" s="43" t="str">
        <f>RIGHT(A41,2)&amp;"Des"&amp;C44</f>
        <v>09Des39</v>
      </c>
      <c r="B44" s="56" t="s">
        <v>45</v>
      </c>
      <c r="C44" s="49">
        <v>39</v>
      </c>
      <c r="D44" s="50"/>
    </row>
    <row r="45" spans="1:4" ht="15">
      <c r="A45" s="43" t="str">
        <f>RIGHT(A41,2)&amp;"Cad"&amp;C45</f>
        <v>09Cad39</v>
      </c>
      <c r="B45" s="56" t="s">
        <v>46</v>
      </c>
      <c r="C45" s="49">
        <v>39</v>
      </c>
      <c r="D45" s="50"/>
    </row>
    <row r="46" spans="1:4" ht="15">
      <c r="A46" s="43" t="str">
        <f>RIGHT(A41,2)&amp;"Cad"</f>
        <v>09Cad</v>
      </c>
      <c r="B46" s="37" t="s">
        <v>40</v>
      </c>
      <c r="C46" s="49" t="s">
        <v>41</v>
      </c>
      <c r="D46" s="50"/>
    </row>
    <row r="47" spans="1:4" ht="15">
      <c r="A47" s="34"/>
      <c r="B47" s="37"/>
      <c r="C47" s="40"/>
      <c r="D47" s="48"/>
    </row>
    <row r="48" spans="1:4" ht="15">
      <c r="A48" s="30">
        <v>2010</v>
      </c>
      <c r="B48" s="32"/>
      <c r="C48" s="30"/>
      <c r="D48" s="53"/>
    </row>
    <row r="49" spans="1:4" ht="15">
      <c r="A49" s="43" t="str">
        <f>RIGHT(A48,2)&amp;"Inv"&amp;C49</f>
        <v>10Inv39</v>
      </c>
      <c r="B49" s="56" t="s">
        <v>44</v>
      </c>
      <c r="C49" s="49">
        <v>39</v>
      </c>
      <c r="D49" s="58">
        <f>D24+$C$42*D36</f>
        <v>0</v>
      </c>
    </row>
    <row r="50" spans="1:4" ht="15">
      <c r="A50" s="43" t="str">
        <f>RIGHT(A48,2)&amp;"Des"&amp;C50</f>
        <v>10Des39</v>
      </c>
      <c r="B50" s="56" t="s">
        <v>45</v>
      </c>
      <c r="C50" s="49">
        <v>39</v>
      </c>
      <c r="D50" s="50"/>
    </row>
    <row r="51" spans="1:4" ht="15">
      <c r="A51" s="43" t="str">
        <f>RIGHT(A48,2)&amp;"Cad"&amp;C51</f>
        <v>10Cad39</v>
      </c>
      <c r="B51" s="56" t="s">
        <v>46</v>
      </c>
      <c r="C51" s="49">
        <v>39</v>
      </c>
      <c r="D51" s="50"/>
    </row>
    <row r="52" spans="1:4" ht="15">
      <c r="A52" s="43" t="str">
        <f>RIGHT(A48,2)&amp;"Cad"</f>
        <v>10Cad</v>
      </c>
      <c r="B52" s="37" t="s">
        <v>40</v>
      </c>
      <c r="C52" s="49" t="s">
        <v>41</v>
      </c>
      <c r="D52" s="50"/>
    </row>
    <row r="53" spans="1:4" ht="15">
      <c r="A53" s="40"/>
      <c r="B53" s="42"/>
      <c r="C53" s="40"/>
      <c r="D53" s="54"/>
    </row>
  </sheetData>
  <sheetProtection/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55" r:id="rId1"/>
  <headerFooter alignWithMargins="0">
    <oddFooter>&amp;R&amp;A in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BB118"/>
  <sheetViews>
    <sheetView zoomScale="75" zoomScaleNormal="75" zoomScalePageLayoutView="0" workbookViewId="0" topLeftCell="A1">
      <selection activeCell="B8" sqref="B5:B8"/>
    </sheetView>
  </sheetViews>
  <sheetFormatPr defaultColWidth="9.140625" defaultRowHeight="15"/>
  <cols>
    <col min="1" max="1" width="57.00390625" style="1" customWidth="1"/>
    <col min="2" max="9" width="11.7109375" style="1" customWidth="1"/>
    <col min="10" max="10" width="3.28125" style="1" customWidth="1"/>
    <col min="11" max="11" width="11.7109375" style="1" customWidth="1"/>
    <col min="12" max="47" width="12.00390625" style="1" customWidth="1"/>
    <col min="48" max="54" width="9.8515625" style="1" customWidth="1"/>
    <col min="55" max="16384" width="9.140625" style="1" customWidth="1"/>
  </cols>
  <sheetData>
    <row r="1" spans="1:54" ht="15">
      <c r="A1" s="8"/>
      <c r="B1" s="60" t="s">
        <v>119</v>
      </c>
      <c r="C1" s="6"/>
      <c r="D1" s="6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45" ht="15">
      <c r="B2" s="9" t="s">
        <v>3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 thickBot="1">
      <c r="A3" s="8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6" ht="15" thickBot="1">
      <c r="A4" s="63" t="s">
        <v>65</v>
      </c>
      <c r="B4" s="71" t="s">
        <v>97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4.25">
      <c r="A5" s="64" t="s">
        <v>66</v>
      </c>
      <c r="B5" s="72">
        <v>22.080000000000002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4.25">
      <c r="A6" s="65" t="s">
        <v>67</v>
      </c>
      <c r="B6" s="73">
        <v>43.68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4.25">
      <c r="A7" s="65" t="s">
        <v>68</v>
      </c>
      <c r="B7" s="73">
        <v>47.400000000000006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4.25">
      <c r="A8" s="65" t="s">
        <v>69</v>
      </c>
      <c r="B8" s="73">
        <v>78.36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>
      <c r="A9" s="65"/>
      <c r="B9" s="7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4.25">
      <c r="A10" s="65" t="s">
        <v>70</v>
      </c>
      <c r="B10" s="7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4.25">
      <c r="A11" s="65" t="s">
        <v>71</v>
      </c>
      <c r="B11" s="7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4.25">
      <c r="A12" s="65" t="s">
        <v>72</v>
      </c>
      <c r="B12" s="7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4.25">
      <c r="A13" s="65" t="s">
        <v>73</v>
      </c>
      <c r="B13" s="7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4.25">
      <c r="A14" s="65"/>
      <c r="B14" s="7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" thickBot="1">
      <c r="A15" s="66" t="s">
        <v>74</v>
      </c>
      <c r="B15" s="7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" thickBot="1">
      <c r="A16" s="67"/>
      <c r="B16" s="7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" thickBot="1">
      <c r="A17" s="69" t="s">
        <v>75</v>
      </c>
      <c r="B17" s="71" t="s">
        <v>97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4.25">
      <c r="A18" s="64" t="s">
        <v>76</v>
      </c>
      <c r="B18" s="72">
        <v>56.28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4.25">
      <c r="A19" s="65" t="s">
        <v>77</v>
      </c>
      <c r="B19" s="73">
        <v>69.72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4.25">
      <c r="A20" s="65" t="s">
        <v>78</v>
      </c>
      <c r="B20" s="73">
        <v>106.44000000000001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4.25">
      <c r="A21" s="65" t="s">
        <v>79</v>
      </c>
      <c r="B21" s="73">
        <v>161.64000000000001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4.25">
      <c r="A22" s="65" t="s">
        <v>80</v>
      </c>
      <c r="B22" s="73">
        <v>220.56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4.25">
      <c r="A23" s="65" t="s">
        <v>81</v>
      </c>
      <c r="B23" s="73">
        <v>258.24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4.25">
      <c r="A24" s="65" t="s">
        <v>82</v>
      </c>
      <c r="B24" s="73">
        <v>279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4.25">
      <c r="A25" s="65" t="s">
        <v>83</v>
      </c>
      <c r="B25" s="73">
        <v>392.64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4.25">
      <c r="A26" s="65" t="s">
        <v>84</v>
      </c>
      <c r="B26" s="73">
        <v>654.12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4.25">
      <c r="A27" s="65" t="s">
        <v>85</v>
      </c>
      <c r="B27" s="7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4.25">
      <c r="A28" s="65"/>
      <c r="B28" s="7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4.25">
      <c r="A29" s="65" t="s">
        <v>86</v>
      </c>
      <c r="B29" s="73">
        <v>140.88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4.25">
      <c r="A30" s="65" t="s">
        <v>87</v>
      </c>
      <c r="B30" s="73">
        <v>174.48000000000002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4.25">
      <c r="A31" s="65" t="s">
        <v>88</v>
      </c>
      <c r="B31" s="73">
        <v>266.28000000000003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>
      <c r="A32" s="65" t="s">
        <v>89</v>
      </c>
      <c r="B32" s="73">
        <v>404.15999999999997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4.25">
      <c r="A33" s="65" t="s">
        <v>90</v>
      </c>
      <c r="B33" s="73">
        <v>551.64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4.25">
      <c r="A34" s="65" t="s">
        <v>91</v>
      </c>
      <c r="B34" s="73">
        <v>645.72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4.25">
      <c r="A35" s="65" t="s">
        <v>92</v>
      </c>
      <c r="B35" s="73">
        <v>697.44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4.25">
      <c r="A36" s="65" t="s">
        <v>93</v>
      </c>
      <c r="B36" s="73">
        <v>981.8400000000001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4.25">
      <c r="A37" s="65" t="s">
        <v>94</v>
      </c>
      <c r="B37" s="73">
        <v>1635.2400000000002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4.25">
      <c r="A38" s="65" t="s">
        <v>95</v>
      </c>
      <c r="B38" s="73">
        <v>3270.7200000000003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5">
      <c r="A39" s="70"/>
      <c r="B39" s="7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" thickBot="1">
      <c r="A40" s="66" t="s">
        <v>96</v>
      </c>
      <c r="B40" s="75">
        <v>3407.6400000000003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3:46" ht="14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3:46" ht="15" thickBo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" thickBot="1">
      <c r="A43" s="63" t="s">
        <v>65</v>
      </c>
      <c r="B43" s="84" t="s">
        <v>102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4.25">
      <c r="A44" s="64" t="s">
        <v>66</v>
      </c>
      <c r="B44" s="85">
        <v>180711.75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4.25">
      <c r="A45" s="65" t="s">
        <v>67</v>
      </c>
      <c r="B45" s="86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4.25">
      <c r="A46" s="65" t="s">
        <v>68</v>
      </c>
      <c r="B46" s="86">
        <v>2801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4.25">
      <c r="A47" s="65" t="s">
        <v>69</v>
      </c>
      <c r="B47" s="86">
        <v>649.25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4.25">
      <c r="A48" s="65"/>
      <c r="B48" s="8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4.25">
      <c r="A49" s="65" t="s">
        <v>70</v>
      </c>
      <c r="B49" s="8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4.25">
      <c r="A50" s="65" t="s">
        <v>71</v>
      </c>
      <c r="B50" s="8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4.25">
      <c r="A51" s="65" t="s">
        <v>72</v>
      </c>
      <c r="B51" s="8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4.25">
      <c r="A52" s="65" t="s">
        <v>73</v>
      </c>
      <c r="B52" s="8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4.25">
      <c r="A53" s="65"/>
      <c r="B53" s="8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5" thickBot="1">
      <c r="A54" s="66" t="s">
        <v>74</v>
      </c>
      <c r="B54" s="8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5" thickBot="1">
      <c r="A55" s="67"/>
      <c r="B55" s="9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5" thickBot="1">
      <c r="A56" s="69" t="s">
        <v>75</v>
      </c>
      <c r="B56" s="84" t="s">
        <v>102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4.25">
      <c r="A57" s="64" t="s">
        <v>76</v>
      </c>
      <c r="B57" s="85">
        <v>198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4.25">
      <c r="A58" s="65" t="s">
        <v>77</v>
      </c>
      <c r="B58" s="86">
        <v>265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4.25">
      <c r="A59" s="65" t="s">
        <v>78</v>
      </c>
      <c r="B59" s="86">
        <v>95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4.25">
      <c r="A60" s="65" t="s">
        <v>79</v>
      </c>
      <c r="B60" s="86">
        <v>63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4.25">
      <c r="A61" s="65" t="s">
        <v>80</v>
      </c>
      <c r="B61" s="86">
        <v>12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4.25">
      <c r="A62" s="65" t="s">
        <v>81</v>
      </c>
      <c r="B62" s="86"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4.25">
      <c r="A63" s="65" t="s">
        <v>82</v>
      </c>
      <c r="B63" s="86"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4.25">
      <c r="A64" s="65" t="s">
        <v>83</v>
      </c>
      <c r="B64" s="86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4.25">
      <c r="A65" s="65" t="s">
        <v>84</v>
      </c>
      <c r="B65" s="86"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4.25">
      <c r="A66" s="65" t="s">
        <v>85</v>
      </c>
      <c r="B66" s="8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4.25">
      <c r="A67" s="65"/>
      <c r="B67" s="8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4.25">
      <c r="A68" s="65" t="s">
        <v>86</v>
      </c>
      <c r="B68" s="86"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4.25">
      <c r="A69" s="65" t="s">
        <v>87</v>
      </c>
      <c r="B69" s="86">
        <v>23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4.25">
      <c r="A70" s="65" t="s">
        <v>88</v>
      </c>
      <c r="B70" s="86">
        <v>10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4.25">
      <c r="A71" s="65" t="s">
        <v>89</v>
      </c>
      <c r="B71" s="86">
        <v>38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4.25">
      <c r="A72" s="65" t="s">
        <v>90</v>
      </c>
      <c r="B72" s="86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4.25">
      <c r="A73" s="65" t="s">
        <v>91</v>
      </c>
      <c r="B73" s="86">
        <v>15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4.25">
      <c r="A74" s="65" t="s">
        <v>92</v>
      </c>
      <c r="B74" s="86">
        <v>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4.25">
      <c r="A75" s="65" t="s">
        <v>93</v>
      </c>
      <c r="B75" s="86">
        <v>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4.25">
      <c r="A76" s="65" t="s">
        <v>94</v>
      </c>
      <c r="B76" s="86">
        <v>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4.25">
      <c r="A77" s="65" t="s">
        <v>95</v>
      </c>
      <c r="B77" s="86">
        <v>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">
      <c r="A78" s="70"/>
      <c r="B78" s="8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" thickBot="1">
      <c r="A79" s="66" t="s">
        <v>96</v>
      </c>
      <c r="B79" s="88">
        <v>13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3:46" ht="14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3:46" ht="15" thickBo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" thickBot="1">
      <c r="A82" s="63" t="s">
        <v>65</v>
      </c>
      <c r="B82" s="84" t="s">
        <v>101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4.25">
      <c r="A83" s="64" t="s">
        <v>66</v>
      </c>
      <c r="B83" s="85">
        <f>B5*B44</f>
        <v>3990115.4400000004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4.25">
      <c r="A84" s="65" t="s">
        <v>67</v>
      </c>
      <c r="B84" s="86">
        <f>B6*B45</f>
        <v>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4.25">
      <c r="A85" s="65" t="s">
        <v>68</v>
      </c>
      <c r="B85" s="86">
        <f>B7*B46</f>
        <v>132767.40000000002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4.25">
      <c r="A86" s="65" t="s">
        <v>69</v>
      </c>
      <c r="B86" s="86">
        <f>B8*B47</f>
        <v>50875.23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4.25">
      <c r="A87" s="65"/>
      <c r="B87" s="8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4.25">
      <c r="A88" s="65" t="s">
        <v>70</v>
      </c>
      <c r="B88" s="86">
        <f>B10*B49</f>
        <v>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4.25">
      <c r="A89" s="65" t="s">
        <v>71</v>
      </c>
      <c r="B89" s="86">
        <f>B11*B50</f>
        <v>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4.25">
      <c r="A90" s="65" t="s">
        <v>72</v>
      </c>
      <c r="B90" s="86">
        <f>B12*B51</f>
        <v>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4.25">
      <c r="A91" s="65" t="s">
        <v>73</v>
      </c>
      <c r="B91" s="86">
        <f>B13*B52</f>
        <v>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4.25">
      <c r="A92" s="65"/>
      <c r="B92" s="8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" thickBot="1">
      <c r="A93" s="66" t="s">
        <v>74</v>
      </c>
      <c r="B93" s="88">
        <f>B15*B54</f>
        <v>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" thickBot="1">
      <c r="A94" s="67"/>
      <c r="B94" s="9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5" thickBot="1">
      <c r="A95" s="69" t="s">
        <v>75</v>
      </c>
      <c r="B95" s="84" t="s">
        <v>101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4.25">
      <c r="A96" s="64" t="s">
        <v>76</v>
      </c>
      <c r="B96" s="85">
        <f aca="true" t="shared" si="0" ref="B96:B105">B18*B57</f>
        <v>11143.44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4.25">
      <c r="A97" s="65" t="s">
        <v>77</v>
      </c>
      <c r="B97" s="86">
        <f t="shared" si="0"/>
        <v>18475.8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4.25">
      <c r="A98" s="65" t="s">
        <v>78</v>
      </c>
      <c r="B98" s="86">
        <f t="shared" si="0"/>
        <v>10111.800000000001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4.25">
      <c r="A99" s="65" t="s">
        <v>79</v>
      </c>
      <c r="B99" s="86">
        <f t="shared" si="0"/>
        <v>10183.320000000002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4.25">
      <c r="A100" s="65" t="s">
        <v>80</v>
      </c>
      <c r="B100" s="86">
        <f t="shared" si="0"/>
        <v>2646.7200000000003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4.25">
      <c r="A101" s="65" t="s">
        <v>81</v>
      </c>
      <c r="B101" s="86">
        <f t="shared" si="0"/>
        <v>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4.25">
      <c r="A102" s="65" t="s">
        <v>82</v>
      </c>
      <c r="B102" s="86">
        <f t="shared" si="0"/>
        <v>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4.25">
      <c r="A103" s="65" t="s">
        <v>83</v>
      </c>
      <c r="B103" s="86">
        <f t="shared" si="0"/>
        <v>392.64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4.25">
      <c r="A104" s="65" t="s">
        <v>84</v>
      </c>
      <c r="B104" s="86">
        <f t="shared" si="0"/>
        <v>0</v>
      </c>
      <c r="C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2" ht="14.25">
      <c r="A105" s="65" t="s">
        <v>85</v>
      </c>
      <c r="B105" s="86">
        <f t="shared" si="0"/>
        <v>0</v>
      </c>
    </row>
    <row r="106" spans="1:2" ht="14.25">
      <c r="A106" s="65"/>
      <c r="B106" s="87"/>
    </row>
    <row r="107" spans="1:2" ht="14.25">
      <c r="A107" s="65" t="s">
        <v>86</v>
      </c>
      <c r="B107" s="86">
        <f aca="true" t="shared" si="1" ref="B107:B116">B29*B68</f>
        <v>0</v>
      </c>
    </row>
    <row r="108" spans="1:2" ht="14.25">
      <c r="A108" s="65" t="s">
        <v>87</v>
      </c>
      <c r="B108" s="86">
        <f t="shared" si="1"/>
        <v>4013.0400000000004</v>
      </c>
    </row>
    <row r="109" spans="1:2" ht="14.25">
      <c r="A109" s="65" t="s">
        <v>88</v>
      </c>
      <c r="B109" s="86">
        <f t="shared" si="1"/>
        <v>2662.8</v>
      </c>
    </row>
    <row r="110" spans="1:2" ht="14.25">
      <c r="A110" s="65" t="s">
        <v>89</v>
      </c>
      <c r="B110" s="86">
        <f t="shared" si="1"/>
        <v>15358.079999999998</v>
      </c>
    </row>
    <row r="111" spans="1:2" ht="14.25">
      <c r="A111" s="65" t="s">
        <v>90</v>
      </c>
      <c r="B111" s="86">
        <f t="shared" si="1"/>
        <v>18755.76</v>
      </c>
    </row>
    <row r="112" spans="1:2" ht="14.25">
      <c r="A112" s="65" t="s">
        <v>91</v>
      </c>
      <c r="B112" s="86">
        <f t="shared" si="1"/>
        <v>9685.800000000001</v>
      </c>
    </row>
    <row r="113" spans="1:2" ht="14.25">
      <c r="A113" s="65" t="s">
        <v>92</v>
      </c>
      <c r="B113" s="86">
        <f t="shared" si="1"/>
        <v>1394.88</v>
      </c>
    </row>
    <row r="114" spans="1:2" ht="14.25">
      <c r="A114" s="65" t="s">
        <v>93</v>
      </c>
      <c r="B114" s="86">
        <f t="shared" si="1"/>
        <v>1963.6800000000003</v>
      </c>
    </row>
    <row r="115" spans="1:2" ht="14.25">
      <c r="A115" s="65" t="s">
        <v>94</v>
      </c>
      <c r="B115" s="86">
        <f t="shared" si="1"/>
        <v>0</v>
      </c>
    </row>
    <row r="116" spans="1:2" ht="14.25">
      <c r="A116" s="65" t="s">
        <v>95</v>
      </c>
      <c r="B116" s="86">
        <f t="shared" si="1"/>
        <v>0</v>
      </c>
    </row>
    <row r="117" spans="1:2" ht="15">
      <c r="A117" s="70"/>
      <c r="B117" s="87"/>
    </row>
    <row r="118" spans="1:2" ht="15" thickBot="1">
      <c r="A118" s="66" t="s">
        <v>96</v>
      </c>
      <c r="B118" s="88">
        <f>B40*B79</f>
        <v>44299.32000000001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3" r:id="rId1"/>
  <headerFooter alignWithMargins="0">
    <oddFooter>&amp;R&amp;A in
&amp;F</oddFooter>
  </headerFooter>
  <rowBreaks count="2" manualBreakCount="2">
    <brk id="42" max="11" man="1"/>
    <brk id="8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BB157"/>
  <sheetViews>
    <sheetView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57.00390625" style="1" customWidth="1"/>
    <col min="2" max="9" width="11.7109375" style="1" customWidth="1"/>
    <col min="10" max="10" width="3.28125" style="1" customWidth="1"/>
    <col min="11" max="11" width="11.7109375" style="1" customWidth="1"/>
    <col min="12" max="47" width="12.00390625" style="1" customWidth="1"/>
    <col min="48" max="54" width="9.8515625" style="1" customWidth="1"/>
    <col min="55" max="16384" width="9.140625" style="1" customWidth="1"/>
  </cols>
  <sheetData>
    <row r="1" spans="1:54" ht="15">
      <c r="A1" s="8"/>
      <c r="B1" s="60" t="s">
        <v>119</v>
      </c>
      <c r="C1" s="6"/>
      <c r="D1" s="6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45" ht="15">
      <c r="B2" s="9" t="s">
        <v>3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 thickBot="1">
      <c r="A3" s="8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6" ht="15" thickBot="1">
      <c r="A4" s="63" t="s">
        <v>98</v>
      </c>
      <c r="B4" s="71" t="s">
        <v>97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4.25">
      <c r="A5" s="64" t="s">
        <v>66</v>
      </c>
      <c r="B5" s="72">
        <v>680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4.25">
      <c r="A6" s="65" t="s">
        <v>67</v>
      </c>
      <c r="B6" s="73">
        <v>1244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4.25">
      <c r="A7" s="65" t="s">
        <v>68</v>
      </c>
      <c r="B7" s="73">
        <v>1244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4.25">
      <c r="A8" s="65" t="s">
        <v>69</v>
      </c>
      <c r="B8" s="73">
        <v>1583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>
      <c r="A9" s="65"/>
      <c r="B9" s="7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4.25">
      <c r="A10" s="65" t="s">
        <v>70</v>
      </c>
      <c r="B10" s="7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4.25">
      <c r="A11" s="65" t="s">
        <v>71</v>
      </c>
      <c r="B11" s="7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4.25">
      <c r="A12" s="65" t="s">
        <v>72</v>
      </c>
      <c r="B12" s="7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4.25">
      <c r="A13" s="65" t="s">
        <v>73</v>
      </c>
      <c r="B13" s="7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4.25">
      <c r="A14" s="65"/>
      <c r="B14" s="7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" thickBot="1">
      <c r="A15" s="66" t="s">
        <v>74</v>
      </c>
      <c r="B15" s="7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" thickBot="1">
      <c r="A16" s="67"/>
      <c r="B16" s="6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" thickBot="1">
      <c r="A17" s="69" t="s">
        <v>99</v>
      </c>
      <c r="B17" s="71" t="s">
        <v>97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4.25">
      <c r="A18" s="64" t="s">
        <v>76</v>
      </c>
      <c r="B18" s="72">
        <v>1600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4.25">
      <c r="A19" s="65" t="s">
        <v>77</v>
      </c>
      <c r="B19" s="73">
        <v>1600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4.25">
      <c r="A20" s="65" t="s">
        <v>78</v>
      </c>
      <c r="B20" s="73">
        <v>1600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4.25">
      <c r="A21" s="65" t="s">
        <v>79</v>
      </c>
      <c r="B21" s="73">
        <v>1600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4.25">
      <c r="A22" s="65" t="s">
        <v>80</v>
      </c>
      <c r="B22" s="73">
        <v>1750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4.25">
      <c r="A23" s="65" t="s">
        <v>81</v>
      </c>
      <c r="B23" s="73">
        <v>1750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4.25">
      <c r="A24" s="65" t="s">
        <v>82</v>
      </c>
      <c r="B24" s="73">
        <v>2100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4.25">
      <c r="A25" s="65" t="s">
        <v>83</v>
      </c>
      <c r="B25" s="7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4.25">
      <c r="A26" s="65" t="s">
        <v>84</v>
      </c>
      <c r="B26" s="7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4.25">
      <c r="A27" s="77" t="s">
        <v>85</v>
      </c>
      <c r="B27" s="7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4.25">
      <c r="A28" s="78"/>
      <c r="B28" s="7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4.25">
      <c r="A29" s="65" t="s">
        <v>86</v>
      </c>
      <c r="B29" s="73">
        <v>11000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4.25">
      <c r="A30" s="65" t="s">
        <v>87</v>
      </c>
      <c r="B30" s="73">
        <v>11000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4.25">
      <c r="A31" s="65" t="s">
        <v>88</v>
      </c>
      <c r="B31" s="73">
        <v>11500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>
      <c r="A32" s="65" t="s">
        <v>89</v>
      </c>
      <c r="B32" s="73">
        <v>11500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4.25">
      <c r="A33" s="65" t="s">
        <v>90</v>
      </c>
      <c r="B33" s="73">
        <v>11500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4.25">
      <c r="A34" s="65" t="s">
        <v>91</v>
      </c>
      <c r="B34" s="73">
        <v>12600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4.25">
      <c r="A35" s="65" t="s">
        <v>92</v>
      </c>
      <c r="B35" s="73">
        <v>12600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4.25">
      <c r="A36" s="65" t="s">
        <v>93</v>
      </c>
      <c r="B36" s="7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4.25">
      <c r="A37" s="65" t="s">
        <v>94</v>
      </c>
      <c r="B37" s="7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4.25">
      <c r="A38" s="65" t="s">
        <v>95</v>
      </c>
      <c r="B38" s="7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5">
      <c r="A39" s="70"/>
      <c r="B39" s="7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" thickBot="1">
      <c r="A40" s="66" t="s">
        <v>96</v>
      </c>
      <c r="B40" s="7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5" thickBot="1">
      <c r="A41" s="76"/>
      <c r="B41" s="7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5" thickBot="1">
      <c r="A42" s="63" t="s">
        <v>100</v>
      </c>
      <c r="B42" s="71" t="s">
        <v>97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4.25">
      <c r="A43" s="79" t="s">
        <v>66</v>
      </c>
      <c r="B43" s="73">
        <v>24.767540515263203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4.25">
      <c r="A44" s="80" t="s">
        <v>67</v>
      </c>
      <c r="B44" s="73">
        <v>26.130656035338365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4.25">
      <c r="A45" s="80" t="s">
        <v>68</v>
      </c>
      <c r="B45" s="73">
        <v>27.560693160663117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4.25">
      <c r="A46" s="81" t="s">
        <v>69</v>
      </c>
      <c r="B46" s="73">
        <v>28.631758660544328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4.25">
      <c r="A47" s="80"/>
      <c r="B47" s="7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4.25">
      <c r="A48" s="82" t="s">
        <v>70</v>
      </c>
      <c r="B48" s="7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4.25">
      <c r="A49" s="80" t="s">
        <v>71</v>
      </c>
      <c r="B49" s="7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4.25">
      <c r="A50" s="80" t="s">
        <v>72</v>
      </c>
      <c r="B50" s="7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4.25">
      <c r="A51" s="81" t="s">
        <v>73</v>
      </c>
      <c r="B51" s="7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4.25">
      <c r="A52" s="80"/>
      <c r="B52" s="7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5" thickBot="1">
      <c r="A53" s="83" t="s">
        <v>74</v>
      </c>
      <c r="B53" s="7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3:46" ht="14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3:46" ht="15" thickBo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5" thickBot="1">
      <c r="A56" s="63" t="s">
        <v>98</v>
      </c>
      <c r="B56" s="84" t="s">
        <v>102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4.25">
      <c r="A57" s="64" t="s">
        <v>66</v>
      </c>
      <c r="B57" s="85">
        <v>1758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4.25">
      <c r="A58" s="65" t="s">
        <v>67</v>
      </c>
      <c r="B58" s="86"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4.25">
      <c r="A59" s="65" t="s">
        <v>68</v>
      </c>
      <c r="B59" s="86">
        <v>41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4.25">
      <c r="A60" s="65" t="s">
        <v>69</v>
      </c>
      <c r="B60" s="86">
        <v>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4.25">
      <c r="A61" s="65"/>
      <c r="B61" s="8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4.25">
      <c r="A62" s="65" t="s">
        <v>70</v>
      </c>
      <c r="B62" s="8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4.25">
      <c r="A63" s="65" t="s">
        <v>71</v>
      </c>
      <c r="B63" s="8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4.25">
      <c r="A64" s="65" t="s">
        <v>72</v>
      </c>
      <c r="B64" s="8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4.25">
      <c r="A65" s="65" t="s">
        <v>73</v>
      </c>
      <c r="B65" s="8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4.25">
      <c r="A66" s="65"/>
      <c r="B66" s="8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5" thickBot="1">
      <c r="A67" s="66" t="s">
        <v>74</v>
      </c>
      <c r="B67" s="8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5" thickBot="1">
      <c r="A68" s="67"/>
      <c r="B68" s="8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5" thickBot="1">
      <c r="A69" s="69" t="s">
        <v>99</v>
      </c>
      <c r="B69" s="84" t="s">
        <v>102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4.25">
      <c r="A70" s="64" t="s">
        <v>76</v>
      </c>
      <c r="B70" s="85">
        <v>1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4.25">
      <c r="A71" s="65" t="s">
        <v>77</v>
      </c>
      <c r="B71" s="86">
        <v>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4.25">
      <c r="A72" s="65" t="s">
        <v>78</v>
      </c>
      <c r="B72" s="86">
        <v>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4.25">
      <c r="A73" s="65" t="s">
        <v>79</v>
      </c>
      <c r="B73" s="86">
        <v>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4.25">
      <c r="A74" s="65" t="s">
        <v>80</v>
      </c>
      <c r="B74" s="86">
        <v>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4.25">
      <c r="A75" s="65" t="s">
        <v>81</v>
      </c>
      <c r="B75" s="86">
        <v>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4.25">
      <c r="A76" s="65" t="s">
        <v>82</v>
      </c>
      <c r="B76" s="86">
        <v>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4.25">
      <c r="A77" s="65" t="s">
        <v>83</v>
      </c>
      <c r="B77" s="8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4.25">
      <c r="A78" s="65" t="s">
        <v>84</v>
      </c>
      <c r="B78" s="8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4.25">
      <c r="A79" s="77" t="s">
        <v>85</v>
      </c>
      <c r="B79" s="8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4.25">
      <c r="A80" s="78"/>
      <c r="B80" s="8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4.25">
      <c r="A81" s="65" t="s">
        <v>86</v>
      </c>
      <c r="B81" s="86">
        <v>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4.25">
      <c r="A82" s="65" t="s">
        <v>87</v>
      </c>
      <c r="B82" s="86">
        <v>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4.25">
      <c r="A83" s="65" t="s">
        <v>88</v>
      </c>
      <c r="B83" s="86">
        <v>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4.25">
      <c r="A84" s="65" t="s">
        <v>89</v>
      </c>
      <c r="B84" s="86">
        <v>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4.25">
      <c r="A85" s="65" t="s">
        <v>90</v>
      </c>
      <c r="B85" s="86">
        <v>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4.25">
      <c r="A86" s="65" t="s">
        <v>91</v>
      </c>
      <c r="B86" s="86">
        <v>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4.25">
      <c r="A87" s="65" t="s">
        <v>92</v>
      </c>
      <c r="B87" s="86">
        <v>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4.25">
      <c r="A88" s="65" t="s">
        <v>93</v>
      </c>
      <c r="B88" s="8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4.25">
      <c r="A89" s="65" t="s">
        <v>94</v>
      </c>
      <c r="B89" s="8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4.25">
      <c r="A90" s="65" t="s">
        <v>95</v>
      </c>
      <c r="B90" s="8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">
      <c r="A91" s="70"/>
      <c r="B91" s="8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" thickBot="1">
      <c r="A92" s="66" t="s">
        <v>96</v>
      </c>
      <c r="B92" s="8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" thickBot="1">
      <c r="A93" s="76"/>
      <c r="B93" s="9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" thickBot="1">
      <c r="A94" s="63" t="s">
        <v>100</v>
      </c>
      <c r="B94" s="84" t="s">
        <v>102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4.25">
      <c r="A95" s="79" t="s">
        <v>66</v>
      </c>
      <c r="B95" s="86">
        <v>998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4.25">
      <c r="A96" s="80" t="s">
        <v>67</v>
      </c>
      <c r="B96" s="86">
        <v>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4.25">
      <c r="A97" s="80" t="s">
        <v>68</v>
      </c>
      <c r="B97" s="86">
        <v>507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4.25">
      <c r="A98" s="81" t="s">
        <v>69</v>
      </c>
      <c r="B98" s="86">
        <v>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4.25">
      <c r="A99" s="80"/>
      <c r="B99" s="8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4.25">
      <c r="A100" s="82" t="s">
        <v>70</v>
      </c>
      <c r="B100" s="8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4.25">
      <c r="A101" s="80" t="s">
        <v>71</v>
      </c>
      <c r="B101" s="8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4.25">
      <c r="A102" s="80" t="s">
        <v>72</v>
      </c>
      <c r="B102" s="8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4.25">
      <c r="A103" s="81" t="s">
        <v>73</v>
      </c>
      <c r="B103" s="8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4.25">
      <c r="A104" s="80"/>
      <c r="B104" s="87"/>
      <c r="C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2" ht="15" thickBot="1">
      <c r="A105" s="83" t="s">
        <v>74</v>
      </c>
      <c r="B105" s="88"/>
    </row>
    <row r="107" ht="15" thickBot="1"/>
    <row r="108" spans="1:2" ht="15" thickBot="1">
      <c r="A108" s="63" t="s">
        <v>98</v>
      </c>
      <c r="B108" s="84" t="s">
        <v>101</v>
      </c>
    </row>
    <row r="109" spans="1:2" ht="14.25">
      <c r="A109" s="64" t="s">
        <v>66</v>
      </c>
      <c r="B109" s="85">
        <f>B5*B57</f>
        <v>1195440</v>
      </c>
    </row>
    <row r="110" spans="1:2" ht="14.25">
      <c r="A110" s="65" t="s">
        <v>67</v>
      </c>
      <c r="B110" s="86">
        <f>B6*B58</f>
        <v>0</v>
      </c>
    </row>
    <row r="111" spans="1:2" ht="14.25">
      <c r="A111" s="65" t="s">
        <v>68</v>
      </c>
      <c r="B111" s="86">
        <f>B7*B59</f>
        <v>51004</v>
      </c>
    </row>
    <row r="112" spans="1:2" ht="14.25">
      <c r="A112" s="65" t="s">
        <v>69</v>
      </c>
      <c r="B112" s="86">
        <f>B8*B60</f>
        <v>12664</v>
      </c>
    </row>
    <row r="113" spans="1:2" ht="14.25">
      <c r="A113" s="65"/>
      <c r="B113" s="87"/>
    </row>
    <row r="114" spans="1:2" ht="14.25">
      <c r="A114" s="65" t="s">
        <v>70</v>
      </c>
      <c r="B114" s="86">
        <f>B10*B62</f>
        <v>0</v>
      </c>
    </row>
    <row r="115" spans="1:2" ht="14.25">
      <c r="A115" s="65" t="s">
        <v>71</v>
      </c>
      <c r="B115" s="86">
        <f>B11*B63</f>
        <v>0</v>
      </c>
    </row>
    <row r="116" spans="1:2" ht="14.25">
      <c r="A116" s="65" t="s">
        <v>72</v>
      </c>
      <c r="B116" s="86">
        <f>B12*B64</f>
        <v>0</v>
      </c>
    </row>
    <row r="117" spans="1:2" ht="14.25">
      <c r="A117" s="65" t="s">
        <v>73</v>
      </c>
      <c r="B117" s="86">
        <f>B13*B65</f>
        <v>0</v>
      </c>
    </row>
    <row r="118" spans="1:2" ht="14.25">
      <c r="A118" s="65"/>
      <c r="B118" s="87"/>
    </row>
    <row r="119" spans="1:2" ht="15" thickBot="1">
      <c r="A119" s="66" t="s">
        <v>74</v>
      </c>
      <c r="B119" s="88">
        <f>B15*B67</f>
        <v>0</v>
      </c>
    </row>
    <row r="120" spans="1:2" ht="15" thickBot="1">
      <c r="A120" s="67"/>
      <c r="B120" s="89"/>
    </row>
    <row r="121" spans="1:2" ht="15" thickBot="1">
      <c r="A121" s="69" t="s">
        <v>99</v>
      </c>
      <c r="B121" s="90" t="s">
        <v>101</v>
      </c>
    </row>
    <row r="122" spans="1:2" ht="14.25">
      <c r="A122" s="64" t="s">
        <v>76</v>
      </c>
      <c r="B122" s="85">
        <f aca="true" t="shared" si="0" ref="B122:B131">B18*B70</f>
        <v>1600</v>
      </c>
    </row>
    <row r="123" spans="1:2" ht="14.25">
      <c r="A123" s="65" t="s">
        <v>77</v>
      </c>
      <c r="B123" s="86">
        <f t="shared" si="0"/>
        <v>1600</v>
      </c>
    </row>
    <row r="124" spans="1:2" ht="14.25">
      <c r="A124" s="65" t="s">
        <v>78</v>
      </c>
      <c r="B124" s="86">
        <f t="shared" si="0"/>
        <v>1600</v>
      </c>
    </row>
    <row r="125" spans="1:2" ht="14.25">
      <c r="A125" s="65" t="s">
        <v>79</v>
      </c>
      <c r="B125" s="86">
        <f t="shared" si="0"/>
        <v>0</v>
      </c>
    </row>
    <row r="126" spans="1:2" ht="14.25">
      <c r="A126" s="65" t="s">
        <v>80</v>
      </c>
      <c r="B126" s="86">
        <f t="shared" si="0"/>
        <v>0</v>
      </c>
    </row>
    <row r="127" spans="1:2" ht="14.25">
      <c r="A127" s="65" t="s">
        <v>81</v>
      </c>
      <c r="B127" s="86">
        <f t="shared" si="0"/>
        <v>0</v>
      </c>
    </row>
    <row r="128" spans="1:2" ht="14.25">
      <c r="A128" s="65" t="s">
        <v>82</v>
      </c>
      <c r="B128" s="86">
        <f t="shared" si="0"/>
        <v>0</v>
      </c>
    </row>
    <row r="129" spans="1:2" ht="14.25">
      <c r="A129" s="65" t="s">
        <v>83</v>
      </c>
      <c r="B129" s="86">
        <f t="shared" si="0"/>
        <v>0</v>
      </c>
    </row>
    <row r="130" spans="1:2" ht="14.25">
      <c r="A130" s="65" t="s">
        <v>84</v>
      </c>
      <c r="B130" s="86">
        <f t="shared" si="0"/>
        <v>0</v>
      </c>
    </row>
    <row r="131" spans="1:2" ht="14.25">
      <c r="A131" s="77" t="s">
        <v>85</v>
      </c>
      <c r="B131" s="86">
        <f t="shared" si="0"/>
        <v>0</v>
      </c>
    </row>
    <row r="132" spans="1:2" ht="14.25">
      <c r="A132" s="78"/>
      <c r="B132" s="87"/>
    </row>
    <row r="133" spans="1:2" ht="14.25">
      <c r="A133" s="65" t="s">
        <v>86</v>
      </c>
      <c r="B133" s="86">
        <f aca="true" t="shared" si="1" ref="B133:B142">B29*B81</f>
        <v>0</v>
      </c>
    </row>
    <row r="134" spans="1:2" ht="14.25">
      <c r="A134" s="65" t="s">
        <v>87</v>
      </c>
      <c r="B134" s="86">
        <f t="shared" si="1"/>
        <v>0</v>
      </c>
    </row>
    <row r="135" spans="1:2" ht="14.25">
      <c r="A135" s="65" t="s">
        <v>88</v>
      </c>
      <c r="B135" s="86">
        <f t="shared" si="1"/>
        <v>0</v>
      </c>
    </row>
    <row r="136" spans="1:2" ht="14.25">
      <c r="A136" s="65" t="s">
        <v>89</v>
      </c>
      <c r="B136" s="86">
        <f t="shared" si="1"/>
        <v>11500</v>
      </c>
    </row>
    <row r="137" spans="1:2" ht="14.25">
      <c r="A137" s="65" t="s">
        <v>90</v>
      </c>
      <c r="B137" s="86">
        <f t="shared" si="1"/>
        <v>11500</v>
      </c>
    </row>
    <row r="138" spans="1:2" ht="14.25">
      <c r="A138" s="65" t="s">
        <v>91</v>
      </c>
      <c r="B138" s="86">
        <f t="shared" si="1"/>
        <v>0</v>
      </c>
    </row>
    <row r="139" spans="1:2" ht="14.25">
      <c r="A139" s="65" t="s">
        <v>92</v>
      </c>
      <c r="B139" s="86">
        <f t="shared" si="1"/>
        <v>12600</v>
      </c>
    </row>
    <row r="140" spans="1:2" ht="14.25">
      <c r="A140" s="65" t="s">
        <v>93</v>
      </c>
      <c r="B140" s="86">
        <f t="shared" si="1"/>
        <v>0</v>
      </c>
    </row>
    <row r="141" spans="1:2" ht="14.25">
      <c r="A141" s="65" t="s">
        <v>94</v>
      </c>
      <c r="B141" s="86">
        <f t="shared" si="1"/>
        <v>0</v>
      </c>
    </row>
    <row r="142" spans="1:2" ht="14.25">
      <c r="A142" s="65" t="s">
        <v>95</v>
      </c>
      <c r="B142" s="86">
        <f t="shared" si="1"/>
        <v>0</v>
      </c>
    </row>
    <row r="143" spans="1:2" ht="15">
      <c r="A143" s="70"/>
      <c r="B143" s="87"/>
    </row>
    <row r="144" spans="1:2" ht="15" thickBot="1">
      <c r="A144" s="66" t="s">
        <v>96</v>
      </c>
      <c r="B144" s="88">
        <f>B40*B92</f>
        <v>0</v>
      </c>
    </row>
    <row r="145" spans="1:2" ht="15" thickBot="1">
      <c r="A145" s="76"/>
      <c r="B145" s="91"/>
    </row>
    <row r="146" spans="1:2" ht="15" thickBot="1">
      <c r="A146" s="63" t="s">
        <v>100</v>
      </c>
      <c r="B146" s="90" t="s">
        <v>101</v>
      </c>
    </row>
    <row r="147" spans="1:2" ht="14.25">
      <c r="A147" s="79" t="s">
        <v>66</v>
      </c>
      <c r="B147" s="86">
        <f>B43*B95</f>
        <v>24718.005434232677</v>
      </c>
    </row>
    <row r="148" spans="1:2" ht="14.25">
      <c r="A148" s="80" t="s">
        <v>67</v>
      </c>
      <c r="B148" s="86">
        <f>B44*B96</f>
        <v>0</v>
      </c>
    </row>
    <row r="149" spans="1:2" ht="14.25">
      <c r="A149" s="80" t="s">
        <v>68</v>
      </c>
      <c r="B149" s="86">
        <f>B45*B97</f>
        <v>13973.2714324562</v>
      </c>
    </row>
    <row r="150" spans="1:2" ht="14.25">
      <c r="A150" s="81" t="s">
        <v>69</v>
      </c>
      <c r="B150" s="86">
        <f>B46*B98</f>
        <v>0</v>
      </c>
    </row>
    <row r="151" spans="1:2" ht="14.25">
      <c r="A151" s="80"/>
      <c r="B151" s="87"/>
    </row>
    <row r="152" spans="1:2" ht="14.25">
      <c r="A152" s="82" t="s">
        <v>70</v>
      </c>
      <c r="B152" s="86">
        <f>B48*B100</f>
        <v>0</v>
      </c>
    </row>
    <row r="153" spans="1:2" ht="14.25">
      <c r="A153" s="80" t="s">
        <v>71</v>
      </c>
      <c r="B153" s="86">
        <f>B49*B101</f>
        <v>0</v>
      </c>
    </row>
    <row r="154" spans="1:2" ht="14.25">
      <c r="A154" s="80" t="s">
        <v>72</v>
      </c>
      <c r="B154" s="86">
        <f>B50*B102</f>
        <v>0</v>
      </c>
    </row>
    <row r="155" spans="1:2" ht="14.25">
      <c r="A155" s="81" t="s">
        <v>73</v>
      </c>
      <c r="B155" s="86">
        <f>B51*B103</f>
        <v>0</v>
      </c>
    </row>
    <row r="156" spans="1:2" ht="14.25">
      <c r="A156" s="80"/>
      <c r="B156" s="87"/>
    </row>
    <row r="157" spans="1:2" ht="15" thickBot="1">
      <c r="A157" s="83" t="s">
        <v>74</v>
      </c>
      <c r="B157" s="88">
        <f>B53*B105</f>
        <v>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65" r:id="rId1"/>
  <headerFooter alignWithMargins="0">
    <oddFooter>&amp;R&amp;A in
&amp;F</oddFooter>
  </headerFooter>
  <rowBreaks count="2" manualBreakCount="2">
    <brk id="55" max="11" man="1"/>
    <brk id="10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showGridLines="0" zoomScaleSheetLayoutView="50" zoomScalePageLayoutView="0" workbookViewId="0" topLeftCell="A1">
      <pane ySplit="1" topLeftCell="BM2" activePane="bottomLeft" state="frozen"/>
      <selection pane="topLeft" activeCell="A1" sqref="A1"/>
      <selection pane="bottomLeft" activeCell="G8" sqref="G8:G52"/>
    </sheetView>
  </sheetViews>
  <sheetFormatPr defaultColWidth="9.140625" defaultRowHeight="15"/>
  <cols>
    <col min="1" max="1" width="2.7109375" style="276" customWidth="1"/>
    <col min="2" max="2" width="2.8515625" style="275" customWidth="1"/>
    <col min="3" max="3" width="7.7109375" style="275" customWidth="1"/>
    <col min="4" max="4" width="20.7109375" style="275" customWidth="1"/>
    <col min="5" max="5" width="21.57421875" style="310" customWidth="1"/>
    <col min="6" max="6" width="12.00390625" style="275" customWidth="1"/>
    <col min="7" max="7" width="13.57421875" style="275" customWidth="1"/>
    <col min="8" max="8" width="16.7109375" style="275" customWidth="1"/>
    <col min="9" max="9" width="9.57421875" style="275" customWidth="1"/>
    <col min="10" max="10" width="33.140625" style="310" customWidth="1"/>
    <col min="11" max="11" width="7.57421875" style="275" customWidth="1"/>
    <col min="12" max="12" width="11.00390625" style="275" customWidth="1"/>
    <col min="13" max="13" width="11.7109375" style="310" customWidth="1"/>
    <col min="14" max="14" width="2.00390625" style="275" customWidth="1"/>
    <col min="15" max="15" width="2.140625" style="275" customWidth="1"/>
    <col min="16" max="16" width="7.28125" style="275" customWidth="1"/>
    <col min="17" max="16384" width="9.140625" style="275" customWidth="1"/>
  </cols>
  <sheetData>
    <row r="1" spans="1:18" s="210" customFormat="1" ht="34.5" customHeight="1">
      <c r="A1" s="202"/>
      <c r="B1" s="203"/>
      <c r="C1" s="204" t="s">
        <v>153</v>
      </c>
      <c r="D1" s="205"/>
      <c r="E1" s="206"/>
      <c r="F1" s="204" t="s">
        <v>154</v>
      </c>
      <c r="G1" s="204"/>
      <c r="H1" s="206"/>
      <c r="I1" s="204" t="s">
        <v>155</v>
      </c>
      <c r="J1" s="207"/>
      <c r="K1" s="207"/>
      <c r="L1" s="207"/>
      <c r="M1" s="208"/>
      <c r="N1" s="202"/>
      <c r="O1" s="205"/>
      <c r="P1" s="209"/>
      <c r="Q1" s="209"/>
      <c r="R1" s="209"/>
    </row>
    <row r="2" spans="1:18" s="210" customFormat="1" ht="13.5" customHeight="1">
      <c r="A2" s="202"/>
      <c r="B2" s="211"/>
      <c r="C2" s="211"/>
      <c r="D2" s="211"/>
      <c r="E2" s="211"/>
      <c r="F2" s="212"/>
      <c r="G2" s="211"/>
      <c r="H2" s="211"/>
      <c r="I2" s="211"/>
      <c r="J2" s="211"/>
      <c r="K2" s="209"/>
      <c r="L2" s="209"/>
      <c r="M2" s="209"/>
      <c r="N2" s="209"/>
      <c r="O2" s="202"/>
      <c r="P2" s="209"/>
      <c r="Q2" s="209"/>
      <c r="R2" s="209"/>
    </row>
    <row r="3" spans="1:18" s="210" customFormat="1" ht="30">
      <c r="A3" s="202"/>
      <c r="B3" s="213"/>
      <c r="C3" s="214" t="s">
        <v>156</v>
      </c>
      <c r="O3" s="202"/>
      <c r="P3" s="209"/>
      <c r="Q3" s="209"/>
      <c r="R3" s="209"/>
    </row>
    <row r="4" spans="1:18" s="210" customFormat="1" ht="19.5" customHeight="1" thickBot="1">
      <c r="A4" s="202"/>
      <c r="B4" s="213"/>
      <c r="C4" s="215"/>
      <c r="O4" s="202"/>
      <c r="P4" s="209"/>
      <c r="Q4" s="209"/>
      <c r="R4" s="209"/>
    </row>
    <row r="5" spans="1:18" s="222" customFormat="1" ht="19.5" customHeight="1" thickBot="1">
      <c r="A5" s="202"/>
      <c r="B5" s="216"/>
      <c r="C5" s="217" t="s">
        <v>157</v>
      </c>
      <c r="D5" s="218"/>
      <c r="E5" s="218"/>
      <c r="F5" s="219"/>
      <c r="G5" s="218"/>
      <c r="H5" s="220"/>
      <c r="I5" s="220"/>
      <c r="J5" s="220"/>
      <c r="K5" s="220"/>
      <c r="L5" s="220"/>
      <c r="M5" s="221"/>
      <c r="O5" s="202"/>
      <c r="P5" s="209"/>
      <c r="Q5" s="209"/>
      <c r="R5" s="223"/>
    </row>
    <row r="6" spans="1:17" s="216" customFormat="1" ht="19.5" customHeight="1" thickBot="1">
      <c r="A6" s="202"/>
      <c r="C6" s="224"/>
      <c r="D6" s="224"/>
      <c r="E6" s="224"/>
      <c r="F6" s="225"/>
      <c r="G6" s="224"/>
      <c r="O6" s="202"/>
      <c r="P6" s="209"/>
      <c r="Q6" s="209"/>
    </row>
    <row r="7" spans="1:18" s="210" customFormat="1" ht="19.5" customHeight="1" thickBot="1">
      <c r="A7" s="202"/>
      <c r="B7" s="213"/>
      <c r="C7" s="226" t="s">
        <v>158</v>
      </c>
      <c r="D7" s="227"/>
      <c r="E7" s="227"/>
      <c r="F7" s="227"/>
      <c r="G7" s="228" t="s">
        <v>97</v>
      </c>
      <c r="H7" s="229" t="s">
        <v>123</v>
      </c>
      <c r="J7" s="230" t="s">
        <v>159</v>
      </c>
      <c r="O7" s="202"/>
      <c r="P7" s="209"/>
      <c r="Q7" s="209"/>
      <c r="R7" s="209"/>
    </row>
    <row r="8" spans="1:18" s="210" customFormat="1" ht="19.5" customHeight="1">
      <c r="A8" s="202"/>
      <c r="B8" s="213"/>
      <c r="C8" s="231" t="s">
        <v>160</v>
      </c>
      <c r="D8" s="232"/>
      <c r="E8" s="233"/>
      <c r="F8" s="234"/>
      <c r="G8" s="235">
        <v>18</v>
      </c>
      <c r="H8" s="236" t="s">
        <v>124</v>
      </c>
      <c r="J8" s="237" t="s">
        <v>161</v>
      </c>
      <c r="O8" s="202"/>
      <c r="P8" s="209"/>
      <c r="Q8" s="209"/>
      <c r="R8" s="209"/>
    </row>
    <row r="9" spans="1:18" s="210" customFormat="1" ht="19.5" customHeight="1" thickBot="1">
      <c r="A9" s="202"/>
      <c r="B9" s="213"/>
      <c r="C9" s="383" t="s">
        <v>162</v>
      </c>
      <c r="D9" s="384"/>
      <c r="E9" s="384"/>
      <c r="F9" s="385"/>
      <c r="G9" s="238">
        <v>28.08</v>
      </c>
      <c r="H9" s="239" t="s">
        <v>163</v>
      </c>
      <c r="J9" s="240" t="s">
        <v>164</v>
      </c>
      <c r="O9" s="202"/>
      <c r="P9" s="209"/>
      <c r="Q9" s="209"/>
      <c r="R9" s="209"/>
    </row>
    <row r="10" spans="1:17" s="213" customFormat="1" ht="19.5" customHeight="1" thickBot="1">
      <c r="A10" s="202"/>
      <c r="C10" s="241"/>
      <c r="D10" s="242"/>
      <c r="E10" s="243"/>
      <c r="F10" s="244"/>
      <c r="G10" s="245"/>
      <c r="H10" s="243"/>
      <c r="J10" s="246" t="s">
        <v>165</v>
      </c>
      <c r="O10" s="202"/>
      <c r="P10" s="209"/>
      <c r="Q10" s="209"/>
    </row>
    <row r="11" spans="1:18" s="210" customFormat="1" ht="19.5" customHeight="1" thickBot="1">
      <c r="A11" s="202"/>
      <c r="B11" s="213"/>
      <c r="C11" s="226" t="s">
        <v>166</v>
      </c>
      <c r="D11" s="227"/>
      <c r="E11" s="227"/>
      <c r="F11" s="227"/>
      <c r="G11" s="228" t="s">
        <v>97</v>
      </c>
      <c r="H11" s="229" t="s">
        <v>123</v>
      </c>
      <c r="O11" s="202"/>
      <c r="P11" s="209"/>
      <c r="Q11" s="209"/>
      <c r="R11" s="209"/>
    </row>
    <row r="12" spans="1:18" s="210" customFormat="1" ht="19.5" customHeight="1">
      <c r="A12" s="202"/>
      <c r="B12" s="213"/>
      <c r="C12" s="231" t="s">
        <v>160</v>
      </c>
      <c r="D12" s="232"/>
      <c r="E12" s="233"/>
      <c r="F12" s="234"/>
      <c r="G12" s="235">
        <v>18</v>
      </c>
      <c r="H12" s="236" t="s">
        <v>124</v>
      </c>
      <c r="O12" s="202"/>
      <c r="P12" s="209"/>
      <c r="Q12" s="209"/>
      <c r="R12" s="209"/>
    </row>
    <row r="13" spans="1:18" s="210" customFormat="1" ht="19.5" customHeight="1" thickBot="1">
      <c r="A13" s="202"/>
      <c r="B13" s="213"/>
      <c r="C13" s="383" t="s">
        <v>162</v>
      </c>
      <c r="D13" s="384"/>
      <c r="E13" s="384"/>
      <c r="F13" s="385"/>
      <c r="G13" s="238">
        <v>28.08</v>
      </c>
      <c r="H13" s="239" t="s">
        <v>163</v>
      </c>
      <c r="O13" s="202"/>
      <c r="P13" s="209"/>
      <c r="Q13" s="209"/>
      <c r="R13" s="209"/>
    </row>
    <row r="14" spans="1:17" s="213" customFormat="1" ht="19.5" customHeight="1" thickBot="1">
      <c r="A14" s="202"/>
      <c r="C14" s="241"/>
      <c r="D14" s="242"/>
      <c r="E14" s="243"/>
      <c r="F14" s="244"/>
      <c r="G14" s="245"/>
      <c r="H14" s="243"/>
      <c r="O14" s="202"/>
      <c r="P14" s="209"/>
      <c r="Q14" s="209"/>
    </row>
    <row r="15" spans="1:18" s="210" customFormat="1" ht="19.5" customHeight="1" thickBot="1">
      <c r="A15" s="202"/>
      <c r="B15" s="213"/>
      <c r="C15" s="226" t="s">
        <v>167</v>
      </c>
      <c r="D15" s="227"/>
      <c r="E15" s="227"/>
      <c r="F15" s="227"/>
      <c r="G15" s="228" t="s">
        <v>97</v>
      </c>
      <c r="H15" s="229" t="s">
        <v>123</v>
      </c>
      <c r="O15" s="202"/>
      <c r="P15" s="209"/>
      <c r="Q15" s="209"/>
      <c r="R15" s="209"/>
    </row>
    <row r="16" spans="1:18" s="210" customFormat="1" ht="19.5" customHeight="1">
      <c r="A16" s="202"/>
      <c r="B16" s="213"/>
      <c r="C16" s="231" t="s">
        <v>160</v>
      </c>
      <c r="D16" s="232"/>
      <c r="E16" s="233"/>
      <c r="F16" s="247"/>
      <c r="G16" s="235">
        <v>550.2</v>
      </c>
      <c r="H16" s="236" t="s">
        <v>124</v>
      </c>
      <c r="O16" s="202"/>
      <c r="P16" s="209"/>
      <c r="Q16" s="209"/>
      <c r="R16" s="209"/>
    </row>
    <row r="17" spans="1:18" s="210" customFormat="1" ht="30" customHeight="1">
      <c r="A17" s="202"/>
      <c r="B17" s="213"/>
      <c r="C17" s="386" t="s">
        <v>168</v>
      </c>
      <c r="D17" s="387"/>
      <c r="E17" s="387"/>
      <c r="F17" s="388"/>
      <c r="G17" s="248">
        <v>23.52</v>
      </c>
      <c r="H17" s="236" t="s">
        <v>163</v>
      </c>
      <c r="O17" s="202"/>
      <c r="P17" s="209"/>
      <c r="Q17" s="209"/>
      <c r="R17" s="209"/>
    </row>
    <row r="18" spans="1:18" s="210" customFormat="1" ht="30" customHeight="1">
      <c r="A18" s="202"/>
      <c r="B18" s="213"/>
      <c r="C18" s="386" t="s">
        <v>169</v>
      </c>
      <c r="D18" s="387"/>
      <c r="E18" s="387"/>
      <c r="F18" s="388"/>
      <c r="G18" s="248">
        <v>23.52</v>
      </c>
      <c r="H18" s="236" t="s">
        <v>163</v>
      </c>
      <c r="O18" s="202"/>
      <c r="P18" s="209"/>
      <c r="Q18" s="209"/>
      <c r="R18" s="209"/>
    </row>
    <row r="19" spans="1:18" s="210" customFormat="1" ht="30" customHeight="1" thickBot="1">
      <c r="A19" s="202"/>
      <c r="B19" s="213"/>
      <c r="C19" s="380" t="s">
        <v>170</v>
      </c>
      <c r="D19" s="381"/>
      <c r="E19" s="381"/>
      <c r="F19" s="382"/>
      <c r="G19" s="238"/>
      <c r="H19" s="239" t="s">
        <v>163</v>
      </c>
      <c r="O19" s="202"/>
      <c r="P19" s="209"/>
      <c r="Q19" s="209"/>
      <c r="R19" s="209"/>
    </row>
    <row r="20" spans="1:17" s="213" customFormat="1" ht="19.5" customHeight="1" thickBot="1">
      <c r="A20" s="202"/>
      <c r="C20" s="249"/>
      <c r="D20" s="242"/>
      <c r="E20" s="243"/>
      <c r="F20" s="250"/>
      <c r="G20" s="245"/>
      <c r="H20" s="243"/>
      <c r="O20" s="202"/>
      <c r="P20" s="209"/>
      <c r="Q20" s="209"/>
    </row>
    <row r="21" spans="1:18" s="210" customFormat="1" ht="19.5" customHeight="1" thickBot="1">
      <c r="A21" s="202"/>
      <c r="B21" s="213"/>
      <c r="C21" s="226" t="s">
        <v>171</v>
      </c>
      <c r="D21" s="227"/>
      <c r="E21" s="227"/>
      <c r="F21" s="227"/>
      <c r="G21" s="228" t="s">
        <v>97</v>
      </c>
      <c r="H21" s="229" t="s">
        <v>123</v>
      </c>
      <c r="O21" s="202"/>
      <c r="P21" s="209"/>
      <c r="Q21" s="209"/>
      <c r="R21" s="209"/>
    </row>
    <row r="22" spans="1:18" s="210" customFormat="1" ht="19.5" customHeight="1">
      <c r="A22" s="202"/>
      <c r="B22" s="213"/>
      <c r="C22" s="231" t="s">
        <v>160</v>
      </c>
      <c r="D22" s="232"/>
      <c r="E22" s="251"/>
      <c r="F22" s="252"/>
      <c r="G22" s="235">
        <v>550.2</v>
      </c>
      <c r="H22" s="236" t="s">
        <v>124</v>
      </c>
      <c r="O22" s="202"/>
      <c r="P22" s="209"/>
      <c r="Q22" s="209"/>
      <c r="R22" s="209"/>
    </row>
    <row r="23" spans="1:18" s="210" customFormat="1" ht="30" customHeight="1" thickBot="1">
      <c r="A23" s="202"/>
      <c r="B23" s="213"/>
      <c r="C23" s="380" t="s">
        <v>172</v>
      </c>
      <c r="D23" s="381"/>
      <c r="E23" s="381"/>
      <c r="F23" s="382"/>
      <c r="G23" s="253">
        <v>23.52</v>
      </c>
      <c r="H23" s="239" t="s">
        <v>163</v>
      </c>
      <c r="O23" s="202"/>
      <c r="P23" s="209"/>
      <c r="Q23" s="209"/>
      <c r="R23" s="209"/>
    </row>
    <row r="24" spans="1:18" s="210" customFormat="1" ht="39" customHeight="1" thickBot="1">
      <c r="A24" s="202"/>
      <c r="B24" s="213"/>
      <c r="C24" s="254"/>
      <c r="D24" s="255"/>
      <c r="E24" s="256"/>
      <c r="F24" s="257"/>
      <c r="G24" s="256"/>
      <c r="O24" s="202"/>
      <c r="P24" s="209"/>
      <c r="Q24" s="209"/>
      <c r="R24" s="209"/>
    </row>
    <row r="25" spans="1:18" s="210" customFormat="1" ht="19.5" customHeight="1" thickBot="1">
      <c r="A25" s="202"/>
      <c r="B25" s="213"/>
      <c r="C25" s="258" t="s">
        <v>173</v>
      </c>
      <c r="D25" s="259"/>
      <c r="E25" s="259"/>
      <c r="F25" s="259"/>
      <c r="G25" s="259"/>
      <c r="H25" s="259"/>
      <c r="I25" s="259"/>
      <c r="J25" s="259"/>
      <c r="K25" s="260"/>
      <c r="L25" s="259"/>
      <c r="M25" s="261"/>
      <c r="O25" s="202"/>
      <c r="P25" s="209"/>
      <c r="Q25" s="209"/>
      <c r="R25" s="209"/>
    </row>
    <row r="26" spans="1:18" s="210" customFormat="1" ht="19.5" customHeight="1" thickBot="1">
      <c r="A26" s="202"/>
      <c r="B26" s="213"/>
      <c r="C26" s="262"/>
      <c r="D26" s="209"/>
      <c r="E26" s="209"/>
      <c r="F26" s="225"/>
      <c r="G26" s="224"/>
      <c r="H26" s="209"/>
      <c r="K26" s="257"/>
      <c r="L26" s="209"/>
      <c r="O26" s="202"/>
      <c r="P26" s="209"/>
      <c r="Q26" s="209"/>
      <c r="R26" s="209"/>
    </row>
    <row r="27" spans="1:18" s="210" customFormat="1" ht="19.5" customHeight="1" thickBot="1">
      <c r="A27" s="202"/>
      <c r="B27" s="213"/>
      <c r="C27" s="226" t="s">
        <v>98</v>
      </c>
      <c r="D27" s="218"/>
      <c r="E27" s="218"/>
      <c r="F27" s="228" t="s">
        <v>97</v>
      </c>
      <c r="G27" s="229" t="s">
        <v>123</v>
      </c>
      <c r="H27" s="209"/>
      <c r="I27" s="226" t="s">
        <v>65</v>
      </c>
      <c r="J27" s="218"/>
      <c r="K27" s="218"/>
      <c r="L27" s="228" t="s">
        <v>97</v>
      </c>
      <c r="M27" s="229" t="s">
        <v>123</v>
      </c>
      <c r="O27" s="202"/>
      <c r="P27" s="209"/>
      <c r="Q27" s="209"/>
      <c r="R27" s="209"/>
    </row>
    <row r="28" spans="1:18" s="210" customFormat="1" ht="19.5" customHeight="1">
      <c r="A28" s="202"/>
      <c r="B28" s="213"/>
      <c r="C28" s="64" t="s">
        <v>66</v>
      </c>
      <c r="D28" s="263"/>
      <c r="E28" s="264"/>
      <c r="F28" s="265">
        <v>727.54</v>
      </c>
      <c r="G28" s="266" t="s">
        <v>174</v>
      </c>
      <c r="H28" s="209"/>
      <c r="I28" s="64" t="s">
        <v>66</v>
      </c>
      <c r="J28" s="263"/>
      <c r="K28" s="264"/>
      <c r="L28" s="265">
        <v>19.68</v>
      </c>
      <c r="M28" s="266" t="s">
        <v>124</v>
      </c>
      <c r="O28" s="202"/>
      <c r="P28" s="209"/>
      <c r="Q28" s="209"/>
      <c r="R28" s="209"/>
    </row>
    <row r="29" spans="1:18" s="210" customFormat="1" ht="19.5" customHeight="1">
      <c r="A29" s="202"/>
      <c r="B29" s="213"/>
      <c r="C29" s="65" t="s">
        <v>67</v>
      </c>
      <c r="D29" s="267"/>
      <c r="E29" s="268"/>
      <c r="F29" s="269">
        <v>1330.98</v>
      </c>
      <c r="G29" s="236" t="s">
        <v>174</v>
      </c>
      <c r="H29" s="209"/>
      <c r="I29" s="65" t="s">
        <v>67</v>
      </c>
      <c r="J29" s="267"/>
      <c r="K29" s="268"/>
      <c r="L29" s="269">
        <v>39</v>
      </c>
      <c r="M29" s="236" t="s">
        <v>124</v>
      </c>
      <c r="O29" s="202"/>
      <c r="P29" s="209"/>
      <c r="Q29" s="209"/>
      <c r="R29" s="209"/>
    </row>
    <row r="30" spans="1:18" s="210" customFormat="1" ht="19.5" customHeight="1">
      <c r="A30" s="202"/>
      <c r="B30" s="213"/>
      <c r="C30" s="65" t="s">
        <v>68</v>
      </c>
      <c r="D30" s="267"/>
      <c r="E30" s="268"/>
      <c r="F30" s="269">
        <v>1330.98</v>
      </c>
      <c r="G30" s="236" t="s">
        <v>174</v>
      </c>
      <c r="H30" s="209"/>
      <c r="I30" s="65" t="s">
        <v>68</v>
      </c>
      <c r="J30" s="267"/>
      <c r="K30" s="268"/>
      <c r="L30" s="269">
        <v>42.24</v>
      </c>
      <c r="M30" s="236" t="s">
        <v>124</v>
      </c>
      <c r="O30" s="202"/>
      <c r="P30" s="209"/>
      <c r="Q30" s="209"/>
      <c r="R30" s="209"/>
    </row>
    <row r="31" spans="1:18" s="210" customFormat="1" ht="19.5" customHeight="1">
      <c r="A31" s="202"/>
      <c r="B31" s="213"/>
      <c r="C31" s="65" t="s">
        <v>69</v>
      </c>
      <c r="D31" s="267"/>
      <c r="E31" s="268"/>
      <c r="F31" s="269">
        <v>1693.68</v>
      </c>
      <c r="G31" s="236" t="s">
        <v>174</v>
      </c>
      <c r="H31" s="209"/>
      <c r="I31" s="65" t="s">
        <v>69</v>
      </c>
      <c r="J31" s="267"/>
      <c r="K31" s="268"/>
      <c r="L31" s="269">
        <v>69.96000000000001</v>
      </c>
      <c r="M31" s="236" t="s">
        <v>124</v>
      </c>
      <c r="O31" s="202"/>
      <c r="P31" s="209"/>
      <c r="Q31" s="209"/>
      <c r="R31" s="209"/>
    </row>
    <row r="32" spans="1:18" s="210" customFormat="1" ht="5.25" customHeight="1">
      <c r="A32" s="202"/>
      <c r="B32" s="213"/>
      <c r="C32" s="65"/>
      <c r="D32" s="267"/>
      <c r="E32" s="270"/>
      <c r="F32" s="271"/>
      <c r="G32" s="272"/>
      <c r="H32" s="209"/>
      <c r="I32" s="65"/>
      <c r="J32" s="267"/>
      <c r="K32" s="270"/>
      <c r="L32" s="271"/>
      <c r="M32" s="272"/>
      <c r="O32" s="202"/>
      <c r="P32" s="209"/>
      <c r="Q32" s="209"/>
      <c r="R32" s="209"/>
    </row>
    <row r="33" spans="1:18" s="210" customFormat="1" ht="19.5" customHeight="1">
      <c r="A33" s="202"/>
      <c r="B33" s="213"/>
      <c r="C33" s="65" t="s">
        <v>70</v>
      </c>
      <c r="D33" s="267"/>
      <c r="E33" s="268"/>
      <c r="F33" s="269"/>
      <c r="G33" s="236" t="s">
        <v>174</v>
      </c>
      <c r="H33" s="209"/>
      <c r="I33" s="65" t="s">
        <v>70</v>
      </c>
      <c r="J33" s="267"/>
      <c r="K33" s="268"/>
      <c r="L33" s="269"/>
      <c r="M33" s="236" t="s">
        <v>124</v>
      </c>
      <c r="O33" s="202"/>
      <c r="P33" s="209"/>
      <c r="Q33" s="209"/>
      <c r="R33" s="209"/>
    </row>
    <row r="34" spans="1:18" s="210" customFormat="1" ht="19.5" customHeight="1">
      <c r="A34" s="202"/>
      <c r="B34" s="213"/>
      <c r="C34" s="65" t="s">
        <v>71</v>
      </c>
      <c r="D34" s="267"/>
      <c r="E34" s="268"/>
      <c r="F34" s="269"/>
      <c r="G34" s="236" t="s">
        <v>174</v>
      </c>
      <c r="H34" s="209"/>
      <c r="I34" s="65" t="s">
        <v>71</v>
      </c>
      <c r="J34" s="267"/>
      <c r="K34" s="268"/>
      <c r="L34" s="269"/>
      <c r="M34" s="236" t="s">
        <v>124</v>
      </c>
      <c r="O34" s="202"/>
      <c r="P34" s="209"/>
      <c r="Q34" s="209"/>
      <c r="R34" s="209"/>
    </row>
    <row r="35" spans="1:18" s="210" customFormat="1" ht="19.5" customHeight="1">
      <c r="A35" s="202"/>
      <c r="B35" s="213"/>
      <c r="C35" s="65" t="s">
        <v>72</v>
      </c>
      <c r="D35" s="267"/>
      <c r="E35" s="268"/>
      <c r="F35" s="269"/>
      <c r="G35" s="236" t="s">
        <v>174</v>
      </c>
      <c r="H35" s="209"/>
      <c r="I35" s="65" t="s">
        <v>72</v>
      </c>
      <c r="J35" s="267"/>
      <c r="K35" s="268"/>
      <c r="L35" s="269"/>
      <c r="M35" s="236" t="s">
        <v>124</v>
      </c>
      <c r="O35" s="202"/>
      <c r="P35" s="209"/>
      <c r="Q35" s="209"/>
      <c r="R35" s="209"/>
    </row>
    <row r="36" spans="1:18" s="210" customFormat="1" ht="19.5" customHeight="1">
      <c r="A36" s="202"/>
      <c r="B36" s="213"/>
      <c r="C36" s="65" t="s">
        <v>73</v>
      </c>
      <c r="D36" s="267"/>
      <c r="E36" s="268"/>
      <c r="F36" s="269"/>
      <c r="G36" s="236" t="s">
        <v>174</v>
      </c>
      <c r="H36" s="209"/>
      <c r="I36" s="65" t="s">
        <v>73</v>
      </c>
      <c r="J36" s="267"/>
      <c r="K36" s="268"/>
      <c r="L36" s="269"/>
      <c r="M36" s="236" t="s">
        <v>124</v>
      </c>
      <c r="O36" s="202"/>
      <c r="P36" s="209"/>
      <c r="Q36" s="209"/>
      <c r="R36" s="209"/>
    </row>
    <row r="37" spans="1:18" ht="5.25" customHeight="1">
      <c r="A37" s="273"/>
      <c r="B37" s="274"/>
      <c r="C37" s="65"/>
      <c r="D37" s="267"/>
      <c r="E37" s="270"/>
      <c r="F37" s="271"/>
      <c r="G37" s="272"/>
      <c r="I37" s="65"/>
      <c r="J37" s="267"/>
      <c r="K37" s="270"/>
      <c r="L37" s="271"/>
      <c r="M37" s="272"/>
      <c r="O37" s="273"/>
      <c r="P37" s="276"/>
      <c r="Q37" s="276"/>
      <c r="R37" s="276"/>
    </row>
    <row r="38" spans="1:18" s="210" customFormat="1" ht="19.5" customHeight="1" thickBot="1">
      <c r="A38" s="202"/>
      <c r="B38" s="213"/>
      <c r="C38" s="66" t="s">
        <v>74</v>
      </c>
      <c r="D38" s="277"/>
      <c r="E38" s="278"/>
      <c r="F38" s="279"/>
      <c r="G38" s="280" t="s">
        <v>174</v>
      </c>
      <c r="H38" s="209"/>
      <c r="I38" s="66" t="s">
        <v>74</v>
      </c>
      <c r="J38" s="277"/>
      <c r="K38" s="278"/>
      <c r="L38" s="279"/>
      <c r="M38" s="239" t="s">
        <v>124</v>
      </c>
      <c r="O38" s="202"/>
      <c r="P38" s="209"/>
      <c r="Q38" s="209"/>
      <c r="R38" s="209"/>
    </row>
    <row r="39" spans="1:18" s="210" customFormat="1" ht="19.5" customHeight="1" thickBot="1">
      <c r="A39" s="202"/>
      <c r="B39" s="213"/>
      <c r="C39" s="67"/>
      <c r="D39" s="281"/>
      <c r="E39" s="282"/>
      <c r="F39" s="257"/>
      <c r="G39" s="283"/>
      <c r="H39" s="209"/>
      <c r="I39" s="67"/>
      <c r="J39" s="281"/>
      <c r="K39" s="257"/>
      <c r="L39" s="209"/>
      <c r="O39" s="202"/>
      <c r="P39" s="209"/>
      <c r="Q39" s="209"/>
      <c r="R39" s="209"/>
    </row>
    <row r="40" spans="1:18" s="210" customFormat="1" ht="19.5" customHeight="1" thickBot="1">
      <c r="A40" s="202"/>
      <c r="B40" s="213"/>
      <c r="C40" s="284" t="s">
        <v>99</v>
      </c>
      <c r="D40" s="285"/>
      <c r="E40" s="286"/>
      <c r="F40" s="228" t="s">
        <v>97</v>
      </c>
      <c r="G40" s="229" t="s">
        <v>123</v>
      </c>
      <c r="H40" s="209"/>
      <c r="I40" s="284" t="s">
        <v>75</v>
      </c>
      <c r="J40" s="285"/>
      <c r="K40" s="218"/>
      <c r="L40" s="228" t="s">
        <v>97</v>
      </c>
      <c r="M40" s="229" t="s">
        <v>123</v>
      </c>
      <c r="O40" s="202"/>
      <c r="P40" s="209"/>
      <c r="Q40" s="209"/>
      <c r="R40" s="209"/>
    </row>
    <row r="41" spans="1:18" s="210" customFormat="1" ht="19.5" customHeight="1">
      <c r="A41" s="202"/>
      <c r="B41" s="213"/>
      <c r="C41" s="64" t="s">
        <v>76</v>
      </c>
      <c r="D41" s="263"/>
      <c r="E41" s="264"/>
      <c r="F41" s="265">
        <v>1999.17</v>
      </c>
      <c r="G41" s="266" t="s">
        <v>174</v>
      </c>
      <c r="H41" s="209"/>
      <c r="I41" s="64" t="s">
        <v>76</v>
      </c>
      <c r="J41" s="263"/>
      <c r="K41" s="264"/>
      <c r="L41" s="265">
        <v>47.88</v>
      </c>
      <c r="M41" s="236" t="s">
        <v>124</v>
      </c>
      <c r="O41" s="202"/>
      <c r="P41" s="209"/>
      <c r="Q41" s="209"/>
      <c r="R41" s="209"/>
    </row>
    <row r="42" spans="1:18" s="210" customFormat="1" ht="19.5" customHeight="1">
      <c r="A42" s="202"/>
      <c r="B42" s="213"/>
      <c r="C42" s="65" t="s">
        <v>77</v>
      </c>
      <c r="D42" s="267"/>
      <c r="E42" s="268"/>
      <c r="F42" s="269">
        <v>1999.17</v>
      </c>
      <c r="G42" s="236" t="s">
        <v>174</v>
      </c>
      <c r="H42" s="209"/>
      <c r="I42" s="65" t="s">
        <v>77</v>
      </c>
      <c r="J42" s="267"/>
      <c r="K42" s="268"/>
      <c r="L42" s="269">
        <v>59.28</v>
      </c>
      <c r="M42" s="236" t="s">
        <v>124</v>
      </c>
      <c r="O42" s="202"/>
      <c r="P42" s="209"/>
      <c r="Q42" s="209"/>
      <c r="R42" s="209"/>
    </row>
    <row r="43" spans="1:18" s="210" customFormat="1" ht="19.5" customHeight="1">
      <c r="A43" s="202"/>
      <c r="B43" s="213"/>
      <c r="C43" s="65" t="s">
        <v>78</v>
      </c>
      <c r="D43" s="267"/>
      <c r="E43" s="268"/>
      <c r="F43" s="269">
        <v>1999.17</v>
      </c>
      <c r="G43" s="236" t="s">
        <v>174</v>
      </c>
      <c r="H43" s="209"/>
      <c r="I43" s="65" t="s">
        <v>78</v>
      </c>
      <c r="J43" s="267"/>
      <c r="K43" s="268"/>
      <c r="L43" s="269">
        <v>90.6</v>
      </c>
      <c r="M43" s="236" t="s">
        <v>124</v>
      </c>
      <c r="O43" s="202"/>
      <c r="P43" s="209"/>
      <c r="Q43" s="209"/>
      <c r="R43" s="209"/>
    </row>
    <row r="44" spans="1:18" s="210" customFormat="1" ht="19.5" customHeight="1">
      <c r="A44" s="202"/>
      <c r="B44" s="213"/>
      <c r="C44" s="65" t="s">
        <v>79</v>
      </c>
      <c r="D44" s="267"/>
      <c r="E44" s="268"/>
      <c r="F44" s="269">
        <v>1999.17</v>
      </c>
      <c r="G44" s="236" t="s">
        <v>174</v>
      </c>
      <c r="H44" s="209"/>
      <c r="I44" s="65" t="s">
        <v>79</v>
      </c>
      <c r="J44" s="267"/>
      <c r="K44" s="268"/>
      <c r="L44" s="269">
        <v>137.52</v>
      </c>
      <c r="M44" s="236" t="s">
        <v>124</v>
      </c>
      <c r="O44" s="202"/>
      <c r="P44" s="209"/>
      <c r="Q44" s="209"/>
      <c r="R44" s="209"/>
    </row>
    <row r="45" spans="1:18" s="210" customFormat="1" ht="19.5" customHeight="1">
      <c r="A45" s="202"/>
      <c r="B45" s="213"/>
      <c r="C45" s="65" t="s">
        <v>80</v>
      </c>
      <c r="D45" s="267"/>
      <c r="E45" s="268"/>
      <c r="F45" s="269">
        <v>2186.6</v>
      </c>
      <c r="G45" s="236" t="s">
        <v>174</v>
      </c>
      <c r="H45" s="209"/>
      <c r="I45" s="65" t="s">
        <v>80</v>
      </c>
      <c r="J45" s="267"/>
      <c r="K45" s="268"/>
      <c r="L45" s="269">
        <v>187.8</v>
      </c>
      <c r="M45" s="236" t="s">
        <v>124</v>
      </c>
      <c r="O45" s="202"/>
      <c r="P45" s="209"/>
      <c r="Q45" s="209"/>
      <c r="R45" s="209"/>
    </row>
    <row r="46" spans="1:18" s="210" customFormat="1" ht="19.5" customHeight="1">
      <c r="A46" s="202"/>
      <c r="B46" s="213"/>
      <c r="C46" s="65" t="s">
        <v>81</v>
      </c>
      <c r="D46" s="267"/>
      <c r="E46" s="268"/>
      <c r="F46" s="269">
        <v>2186.6</v>
      </c>
      <c r="G46" s="236" t="s">
        <v>174</v>
      </c>
      <c r="H46" s="209"/>
      <c r="I46" s="65" t="s">
        <v>81</v>
      </c>
      <c r="J46" s="267"/>
      <c r="K46" s="268"/>
      <c r="L46" s="269">
        <v>219.84</v>
      </c>
      <c r="M46" s="236" t="s">
        <v>124</v>
      </c>
      <c r="O46" s="202"/>
      <c r="P46" s="209"/>
      <c r="Q46" s="209"/>
      <c r="R46" s="209"/>
    </row>
    <row r="47" spans="1:18" s="210" customFormat="1" ht="19.5" customHeight="1">
      <c r="A47" s="202"/>
      <c r="B47" s="213"/>
      <c r="C47" s="65" t="s">
        <v>82</v>
      </c>
      <c r="D47" s="267"/>
      <c r="E47" s="268"/>
      <c r="F47" s="269">
        <v>2623.92</v>
      </c>
      <c r="G47" s="236" t="s">
        <v>174</v>
      </c>
      <c r="H47" s="209"/>
      <c r="I47" s="65" t="s">
        <v>82</v>
      </c>
      <c r="J47" s="267"/>
      <c r="K47" s="268"/>
      <c r="L47" s="269">
        <v>237.48</v>
      </c>
      <c r="M47" s="236" t="s">
        <v>124</v>
      </c>
      <c r="O47" s="202"/>
      <c r="P47" s="209"/>
      <c r="Q47" s="209"/>
      <c r="R47" s="209"/>
    </row>
    <row r="48" spans="1:18" s="210" customFormat="1" ht="19.5" customHeight="1">
      <c r="A48" s="202"/>
      <c r="B48" s="213"/>
      <c r="C48" s="65" t="s">
        <v>83</v>
      </c>
      <c r="D48" s="267"/>
      <c r="E48" s="268"/>
      <c r="F48" s="269"/>
      <c r="G48" s="236" t="s">
        <v>174</v>
      </c>
      <c r="H48" s="209"/>
      <c r="I48" s="65" t="s">
        <v>83</v>
      </c>
      <c r="J48" s="267"/>
      <c r="K48" s="268"/>
      <c r="L48" s="269">
        <v>334.32</v>
      </c>
      <c r="M48" s="236" t="s">
        <v>124</v>
      </c>
      <c r="O48" s="202"/>
      <c r="P48" s="209"/>
      <c r="Q48" s="209"/>
      <c r="R48" s="209"/>
    </row>
    <row r="49" spans="1:18" s="210" customFormat="1" ht="19.5" customHeight="1">
      <c r="A49" s="202"/>
      <c r="B49" s="213"/>
      <c r="C49" s="65" t="s">
        <v>84</v>
      </c>
      <c r="D49" s="267"/>
      <c r="E49" s="268"/>
      <c r="F49" s="269"/>
      <c r="G49" s="236" t="s">
        <v>174</v>
      </c>
      <c r="H49" s="209"/>
      <c r="I49" s="65" t="s">
        <v>84</v>
      </c>
      <c r="J49" s="267"/>
      <c r="K49" s="268"/>
      <c r="L49" s="269">
        <v>556.9200000000001</v>
      </c>
      <c r="M49" s="236" t="s">
        <v>124</v>
      </c>
      <c r="O49" s="202"/>
      <c r="P49" s="209"/>
      <c r="Q49" s="209"/>
      <c r="R49" s="209"/>
    </row>
    <row r="50" spans="1:18" s="210" customFormat="1" ht="19.5" customHeight="1">
      <c r="A50" s="202"/>
      <c r="B50" s="213"/>
      <c r="C50" s="77" t="s">
        <v>85</v>
      </c>
      <c r="D50" s="267"/>
      <c r="E50" s="268"/>
      <c r="F50" s="269"/>
      <c r="G50" s="236" t="s">
        <v>174</v>
      </c>
      <c r="H50" s="209"/>
      <c r="I50" s="65" t="s">
        <v>85</v>
      </c>
      <c r="J50" s="267"/>
      <c r="K50" s="268"/>
      <c r="L50" s="269"/>
      <c r="M50" s="236" t="s">
        <v>124</v>
      </c>
      <c r="O50" s="202"/>
      <c r="P50" s="209"/>
      <c r="Q50" s="209"/>
      <c r="R50" s="209"/>
    </row>
    <row r="51" spans="1:18" s="210" customFormat="1" ht="5.25" customHeight="1">
      <c r="A51" s="202"/>
      <c r="B51" s="213"/>
      <c r="C51" s="287"/>
      <c r="D51" s="267"/>
      <c r="F51" s="271"/>
      <c r="G51" s="272"/>
      <c r="H51" s="209"/>
      <c r="I51" s="65"/>
      <c r="J51" s="267"/>
      <c r="K51" s="270"/>
      <c r="L51" s="288"/>
      <c r="M51" s="289"/>
      <c r="O51" s="202"/>
      <c r="P51" s="209"/>
      <c r="Q51" s="209"/>
      <c r="R51" s="209"/>
    </row>
    <row r="52" spans="1:18" s="210" customFormat="1" ht="19.5" customHeight="1">
      <c r="A52" s="202"/>
      <c r="B52" s="213"/>
      <c r="C52" s="65" t="s">
        <v>86</v>
      </c>
      <c r="D52" s="267"/>
      <c r="E52" s="268"/>
      <c r="F52" s="269">
        <v>13744.33</v>
      </c>
      <c r="G52" s="236" t="s">
        <v>174</v>
      </c>
      <c r="H52" s="209"/>
      <c r="I52" s="65" t="s">
        <v>86</v>
      </c>
      <c r="J52" s="267"/>
      <c r="K52" s="268"/>
      <c r="L52" s="290">
        <v>119.88</v>
      </c>
      <c r="M52" s="236" t="s">
        <v>124</v>
      </c>
      <c r="O52" s="202"/>
      <c r="P52" s="209"/>
      <c r="Q52" s="209"/>
      <c r="R52" s="209"/>
    </row>
    <row r="53" spans="1:18" s="210" customFormat="1" ht="19.5" customHeight="1">
      <c r="A53" s="202"/>
      <c r="B53" s="213"/>
      <c r="C53" s="65" t="s">
        <v>87</v>
      </c>
      <c r="D53" s="267"/>
      <c r="E53" s="268"/>
      <c r="F53" s="269">
        <v>13744.33</v>
      </c>
      <c r="G53" s="236" t="s">
        <v>174</v>
      </c>
      <c r="H53" s="209"/>
      <c r="I53" s="65" t="s">
        <v>87</v>
      </c>
      <c r="J53" s="267"/>
      <c r="K53" s="268"/>
      <c r="L53" s="269">
        <v>148.56</v>
      </c>
      <c r="M53" s="236" t="s">
        <v>124</v>
      </c>
      <c r="O53" s="202"/>
      <c r="P53" s="209"/>
      <c r="Q53" s="209"/>
      <c r="R53" s="209"/>
    </row>
    <row r="54" spans="1:18" s="210" customFormat="1" ht="19.5" customHeight="1">
      <c r="A54" s="202"/>
      <c r="B54" s="213"/>
      <c r="C54" s="65" t="s">
        <v>88</v>
      </c>
      <c r="D54" s="267"/>
      <c r="E54" s="268"/>
      <c r="F54" s="269">
        <v>14369.08</v>
      </c>
      <c r="G54" s="236" t="s">
        <v>174</v>
      </c>
      <c r="H54" s="209"/>
      <c r="I54" s="65" t="s">
        <v>88</v>
      </c>
      <c r="J54" s="267"/>
      <c r="K54" s="268"/>
      <c r="L54" s="269">
        <v>226.68</v>
      </c>
      <c r="M54" s="236" t="s">
        <v>124</v>
      </c>
      <c r="O54" s="202"/>
      <c r="P54" s="209"/>
      <c r="Q54" s="209"/>
      <c r="R54" s="209"/>
    </row>
    <row r="55" spans="1:18" s="210" customFormat="1" ht="19.5" customHeight="1">
      <c r="A55" s="202"/>
      <c r="B55" s="213"/>
      <c r="C55" s="65" t="s">
        <v>89</v>
      </c>
      <c r="D55" s="267"/>
      <c r="E55" s="268"/>
      <c r="F55" s="269">
        <v>14369.08</v>
      </c>
      <c r="G55" s="236" t="s">
        <v>174</v>
      </c>
      <c r="H55" s="209"/>
      <c r="I55" s="65" t="s">
        <v>89</v>
      </c>
      <c r="J55" s="267"/>
      <c r="K55" s="268"/>
      <c r="L55" s="269">
        <v>344.04</v>
      </c>
      <c r="M55" s="236" t="s">
        <v>124</v>
      </c>
      <c r="O55" s="202"/>
      <c r="P55" s="209"/>
      <c r="Q55" s="209"/>
      <c r="R55" s="209"/>
    </row>
    <row r="56" spans="1:18" s="210" customFormat="1" ht="19.5" customHeight="1">
      <c r="A56" s="202"/>
      <c r="B56" s="213"/>
      <c r="C56" s="65" t="s">
        <v>90</v>
      </c>
      <c r="D56" s="267"/>
      <c r="E56" s="268"/>
      <c r="F56" s="269">
        <v>14369.08</v>
      </c>
      <c r="G56" s="236" t="s">
        <v>174</v>
      </c>
      <c r="H56" s="209"/>
      <c r="I56" s="65" t="s">
        <v>90</v>
      </c>
      <c r="J56" s="267"/>
      <c r="K56" s="291"/>
      <c r="L56" s="269">
        <v>469.68</v>
      </c>
      <c r="M56" s="236" t="s">
        <v>124</v>
      </c>
      <c r="O56" s="202"/>
      <c r="P56" s="209"/>
      <c r="Q56" s="209"/>
      <c r="R56" s="209"/>
    </row>
    <row r="57" spans="1:18" ht="19.5" customHeight="1">
      <c r="A57" s="273"/>
      <c r="B57" s="274"/>
      <c r="C57" s="65" t="s">
        <v>91</v>
      </c>
      <c r="D57" s="267"/>
      <c r="E57" s="268"/>
      <c r="F57" s="269">
        <v>15743.51</v>
      </c>
      <c r="G57" s="236" t="s">
        <v>174</v>
      </c>
      <c r="I57" s="65" t="s">
        <v>91</v>
      </c>
      <c r="J57" s="267"/>
      <c r="K57" s="268"/>
      <c r="L57" s="269">
        <v>549.72</v>
      </c>
      <c r="M57" s="236" t="s">
        <v>124</v>
      </c>
      <c r="O57" s="273"/>
      <c r="P57" s="276"/>
      <c r="Q57" s="276"/>
      <c r="R57" s="276"/>
    </row>
    <row r="58" spans="1:18" s="210" customFormat="1" ht="19.5" customHeight="1">
      <c r="A58" s="202"/>
      <c r="B58" s="213"/>
      <c r="C58" s="65" t="s">
        <v>92</v>
      </c>
      <c r="D58" s="267"/>
      <c r="E58" s="268"/>
      <c r="F58" s="269">
        <v>15743.51</v>
      </c>
      <c r="G58" s="236" t="s">
        <v>174</v>
      </c>
      <c r="H58" s="209"/>
      <c r="I58" s="65" t="s">
        <v>92</v>
      </c>
      <c r="J58" s="267"/>
      <c r="K58" s="268"/>
      <c r="L58" s="269">
        <v>593.76</v>
      </c>
      <c r="M58" s="236" t="s">
        <v>124</v>
      </c>
      <c r="O58" s="202"/>
      <c r="P58" s="209"/>
      <c r="Q58" s="209"/>
      <c r="R58" s="209"/>
    </row>
    <row r="59" spans="1:18" s="295" customFormat="1" ht="19.5" customHeight="1">
      <c r="A59" s="292"/>
      <c r="B59" s="293"/>
      <c r="C59" s="65" t="s">
        <v>93</v>
      </c>
      <c r="D59" s="267"/>
      <c r="E59" s="268"/>
      <c r="F59" s="269"/>
      <c r="G59" s="236" t="s">
        <v>174</v>
      </c>
      <c r="H59" s="294"/>
      <c r="I59" s="65" t="s">
        <v>93</v>
      </c>
      <c r="J59" s="267"/>
      <c r="K59" s="268"/>
      <c r="L59" s="269">
        <v>835.92</v>
      </c>
      <c r="M59" s="236" t="s">
        <v>124</v>
      </c>
      <c r="O59" s="202"/>
      <c r="P59" s="294"/>
      <c r="Q59" s="294"/>
      <c r="R59" s="294"/>
    </row>
    <row r="60" spans="1:18" s="295" customFormat="1" ht="19.5" customHeight="1">
      <c r="A60" s="292"/>
      <c r="B60" s="293"/>
      <c r="C60" s="65" t="s">
        <v>94</v>
      </c>
      <c r="D60" s="267"/>
      <c r="E60" s="268"/>
      <c r="F60" s="269"/>
      <c r="G60" s="236" t="s">
        <v>174</v>
      </c>
      <c r="H60" s="294"/>
      <c r="I60" s="65" t="s">
        <v>94</v>
      </c>
      <c r="J60" s="267"/>
      <c r="K60" s="268"/>
      <c r="L60" s="269">
        <v>1392.3600000000001</v>
      </c>
      <c r="M60" s="236" t="s">
        <v>124</v>
      </c>
      <c r="O60" s="202"/>
      <c r="P60" s="294"/>
      <c r="Q60" s="294"/>
      <c r="R60" s="294"/>
    </row>
    <row r="61" spans="1:18" s="210" customFormat="1" ht="19.5" customHeight="1">
      <c r="A61" s="202"/>
      <c r="B61" s="213"/>
      <c r="C61" s="65" t="s">
        <v>95</v>
      </c>
      <c r="D61" s="267"/>
      <c r="E61" s="268"/>
      <c r="F61" s="269"/>
      <c r="G61" s="236" t="s">
        <v>174</v>
      </c>
      <c r="H61" s="209"/>
      <c r="I61" s="65" t="s">
        <v>95</v>
      </c>
      <c r="J61" s="267"/>
      <c r="K61" s="268"/>
      <c r="L61" s="269">
        <v>2784.96</v>
      </c>
      <c r="M61" s="236" t="s">
        <v>124</v>
      </c>
      <c r="O61" s="202"/>
      <c r="P61" s="209"/>
      <c r="Q61" s="209"/>
      <c r="R61" s="209"/>
    </row>
    <row r="62" spans="1:18" s="210" customFormat="1" ht="5.25" customHeight="1">
      <c r="A62" s="202"/>
      <c r="B62" s="213"/>
      <c r="C62" s="296"/>
      <c r="D62" s="297"/>
      <c r="E62" s="297"/>
      <c r="F62" s="271"/>
      <c r="G62" s="289"/>
      <c r="H62" s="209"/>
      <c r="I62" s="296"/>
      <c r="J62" s="297"/>
      <c r="K62" s="270"/>
      <c r="L62" s="271"/>
      <c r="M62" s="272"/>
      <c r="O62" s="202"/>
      <c r="P62" s="209"/>
      <c r="Q62" s="209"/>
      <c r="R62" s="209"/>
    </row>
    <row r="63" spans="1:18" s="210" customFormat="1" ht="19.5" customHeight="1" thickBot="1">
      <c r="A63" s="202"/>
      <c r="B63" s="213"/>
      <c r="C63" s="66" t="s">
        <v>96</v>
      </c>
      <c r="D63" s="277"/>
      <c r="E63" s="278"/>
      <c r="F63" s="279"/>
      <c r="G63" s="280" t="s">
        <v>174</v>
      </c>
      <c r="H63" s="209"/>
      <c r="I63" s="66" t="s">
        <v>96</v>
      </c>
      <c r="J63" s="277"/>
      <c r="K63" s="278"/>
      <c r="L63" s="279">
        <v>2901.48</v>
      </c>
      <c r="M63" s="239" t="s">
        <v>124</v>
      </c>
      <c r="O63" s="202"/>
      <c r="P63" s="209"/>
      <c r="Q63" s="209"/>
      <c r="R63" s="209"/>
    </row>
    <row r="64" spans="1:18" s="210" customFormat="1" ht="19.5" customHeight="1" thickBot="1">
      <c r="A64" s="202"/>
      <c r="B64" s="213"/>
      <c r="C64" s="209"/>
      <c r="D64" s="209"/>
      <c r="E64" s="211"/>
      <c r="F64" s="209"/>
      <c r="H64" s="209"/>
      <c r="I64" s="67"/>
      <c r="J64" s="281"/>
      <c r="K64" s="257"/>
      <c r="L64" s="209"/>
      <c r="O64" s="202"/>
      <c r="P64" s="209"/>
      <c r="Q64" s="209"/>
      <c r="R64" s="209"/>
    </row>
    <row r="65" spans="1:18" s="210" customFormat="1" ht="19.5" customHeight="1" thickBot="1">
      <c r="A65" s="202"/>
      <c r="B65" s="213"/>
      <c r="C65" s="226" t="s">
        <v>100</v>
      </c>
      <c r="D65" s="218"/>
      <c r="E65" s="218"/>
      <c r="F65" s="228" t="s">
        <v>97</v>
      </c>
      <c r="G65" s="229" t="s">
        <v>123</v>
      </c>
      <c r="H65" s="209"/>
      <c r="I65" s="67"/>
      <c r="J65" s="281"/>
      <c r="K65" s="257"/>
      <c r="L65" s="209"/>
      <c r="O65" s="202"/>
      <c r="P65" s="209"/>
      <c r="Q65" s="209"/>
      <c r="R65" s="209"/>
    </row>
    <row r="66" spans="1:18" s="210" customFormat="1" ht="19.5" customHeight="1">
      <c r="A66" s="202"/>
      <c r="B66" s="213"/>
      <c r="C66" s="298" t="s">
        <v>66</v>
      </c>
      <c r="D66" s="263"/>
      <c r="E66" s="264"/>
      <c r="F66" s="269">
        <v>26.5</v>
      </c>
      <c r="G66" s="236" t="s">
        <v>175</v>
      </c>
      <c r="H66" s="209"/>
      <c r="I66" s="67"/>
      <c r="J66" s="281"/>
      <c r="K66" s="257"/>
      <c r="L66" s="209"/>
      <c r="O66" s="202"/>
      <c r="P66" s="209"/>
      <c r="Q66" s="209"/>
      <c r="R66" s="209"/>
    </row>
    <row r="67" spans="1:18" s="295" customFormat="1" ht="19.5" customHeight="1">
      <c r="A67" s="292"/>
      <c r="B67" s="293"/>
      <c r="C67" s="299" t="s">
        <v>67</v>
      </c>
      <c r="D67" s="267"/>
      <c r="E67" s="268"/>
      <c r="F67" s="269">
        <v>27.96</v>
      </c>
      <c r="G67" s="236" t="s">
        <v>175</v>
      </c>
      <c r="H67" s="294"/>
      <c r="I67" s="67"/>
      <c r="J67" s="281"/>
      <c r="K67" s="257"/>
      <c r="L67" s="294"/>
      <c r="O67" s="202"/>
      <c r="P67" s="294"/>
      <c r="Q67" s="294"/>
      <c r="R67" s="294"/>
    </row>
    <row r="68" spans="1:18" s="210" customFormat="1" ht="19.5" customHeight="1">
      <c r="A68" s="202"/>
      <c r="B68" s="213"/>
      <c r="C68" s="299" t="s">
        <v>68</v>
      </c>
      <c r="D68" s="267"/>
      <c r="E68" s="268"/>
      <c r="F68" s="269">
        <v>29.49</v>
      </c>
      <c r="G68" s="236" t="s">
        <v>175</v>
      </c>
      <c r="H68" s="209"/>
      <c r="I68" s="67"/>
      <c r="J68" s="281"/>
      <c r="K68" s="257"/>
      <c r="L68" s="209"/>
      <c r="O68" s="202"/>
      <c r="P68" s="209"/>
      <c r="Q68" s="209"/>
      <c r="R68" s="209"/>
    </row>
    <row r="69" spans="1:18" s="210" customFormat="1" ht="19.5" customHeight="1">
      <c r="A69" s="202"/>
      <c r="B69" s="213"/>
      <c r="C69" s="300" t="s">
        <v>69</v>
      </c>
      <c r="D69" s="301"/>
      <c r="E69" s="291"/>
      <c r="F69" s="269">
        <v>30.63</v>
      </c>
      <c r="G69" s="236" t="s">
        <v>175</v>
      </c>
      <c r="H69" s="209"/>
      <c r="I69" s="67"/>
      <c r="J69" s="281"/>
      <c r="K69" s="257"/>
      <c r="L69" s="209"/>
      <c r="O69" s="202"/>
      <c r="P69" s="209"/>
      <c r="Q69" s="209"/>
      <c r="R69" s="209"/>
    </row>
    <row r="70" spans="1:18" s="210" customFormat="1" ht="5.25" customHeight="1">
      <c r="A70" s="202"/>
      <c r="B70" s="213"/>
      <c r="C70" s="299"/>
      <c r="D70" s="267"/>
      <c r="E70" s="270"/>
      <c r="F70" s="271"/>
      <c r="G70" s="272"/>
      <c r="H70" s="209"/>
      <c r="I70" s="67"/>
      <c r="J70" s="281"/>
      <c r="K70" s="257"/>
      <c r="L70" s="209"/>
      <c r="O70" s="202"/>
      <c r="P70" s="209"/>
      <c r="Q70" s="209"/>
      <c r="R70" s="209"/>
    </row>
    <row r="71" spans="1:18" s="210" customFormat="1" ht="19.5" customHeight="1">
      <c r="A71" s="202"/>
      <c r="B71" s="213"/>
      <c r="C71" s="302" t="s">
        <v>70</v>
      </c>
      <c r="D71" s="303"/>
      <c r="E71" s="268"/>
      <c r="F71" s="269"/>
      <c r="G71" s="236" t="s">
        <v>175</v>
      </c>
      <c r="H71" s="209"/>
      <c r="I71" s="67"/>
      <c r="J71" s="281"/>
      <c r="K71" s="257"/>
      <c r="L71" s="209"/>
      <c r="O71" s="202"/>
      <c r="P71" s="209"/>
      <c r="Q71" s="209"/>
      <c r="R71" s="209"/>
    </row>
    <row r="72" spans="1:18" s="210" customFormat="1" ht="19.5" customHeight="1">
      <c r="A72" s="202"/>
      <c r="B72" s="213"/>
      <c r="C72" s="299" t="s">
        <v>71</v>
      </c>
      <c r="D72" s="267"/>
      <c r="E72" s="268"/>
      <c r="F72" s="269"/>
      <c r="G72" s="236" t="s">
        <v>175</v>
      </c>
      <c r="H72" s="209"/>
      <c r="I72" s="67"/>
      <c r="J72" s="281"/>
      <c r="K72" s="257"/>
      <c r="L72" s="209"/>
      <c r="O72" s="202"/>
      <c r="P72" s="209"/>
      <c r="Q72" s="209"/>
      <c r="R72" s="209"/>
    </row>
    <row r="73" spans="1:18" s="295" customFormat="1" ht="19.5" customHeight="1">
      <c r="A73" s="292"/>
      <c r="B73" s="293"/>
      <c r="C73" s="299" t="s">
        <v>72</v>
      </c>
      <c r="D73" s="267"/>
      <c r="E73" s="268"/>
      <c r="F73" s="269"/>
      <c r="G73" s="236" t="s">
        <v>175</v>
      </c>
      <c r="H73" s="294"/>
      <c r="I73" s="67"/>
      <c r="J73" s="281"/>
      <c r="K73" s="257"/>
      <c r="L73" s="294"/>
      <c r="O73" s="202"/>
      <c r="P73" s="294"/>
      <c r="Q73" s="294"/>
      <c r="R73" s="294"/>
    </row>
    <row r="74" spans="1:18" s="210" customFormat="1" ht="19.5" customHeight="1">
      <c r="A74" s="202"/>
      <c r="B74" s="213"/>
      <c r="C74" s="300" t="s">
        <v>73</v>
      </c>
      <c r="D74" s="301"/>
      <c r="E74" s="291"/>
      <c r="F74" s="269"/>
      <c r="G74" s="236" t="s">
        <v>175</v>
      </c>
      <c r="H74" s="209"/>
      <c r="I74" s="67"/>
      <c r="J74" s="281"/>
      <c r="K74" s="257"/>
      <c r="L74" s="209"/>
      <c r="O74" s="202"/>
      <c r="P74" s="209"/>
      <c r="Q74" s="209"/>
      <c r="R74" s="209"/>
    </row>
    <row r="75" spans="1:18" s="210" customFormat="1" ht="5.25" customHeight="1">
      <c r="A75" s="202"/>
      <c r="B75" s="213"/>
      <c r="C75" s="299"/>
      <c r="D75" s="267"/>
      <c r="E75" s="270"/>
      <c r="F75" s="271"/>
      <c r="G75" s="304"/>
      <c r="H75" s="209"/>
      <c r="I75" s="67"/>
      <c r="J75" s="281"/>
      <c r="K75" s="257"/>
      <c r="L75" s="209"/>
      <c r="O75" s="202"/>
      <c r="P75" s="209"/>
      <c r="Q75" s="209"/>
      <c r="R75" s="209"/>
    </row>
    <row r="76" spans="1:18" s="210" customFormat="1" ht="19.5" customHeight="1" thickBot="1">
      <c r="A76" s="202"/>
      <c r="B76" s="213"/>
      <c r="C76" s="305" t="s">
        <v>74</v>
      </c>
      <c r="D76" s="306"/>
      <c r="E76" s="278"/>
      <c r="F76" s="279"/>
      <c r="G76" s="239" t="s">
        <v>175</v>
      </c>
      <c r="H76" s="209"/>
      <c r="I76" s="67"/>
      <c r="J76" s="281"/>
      <c r="K76" s="257"/>
      <c r="L76" s="209"/>
      <c r="O76" s="202"/>
      <c r="P76" s="209"/>
      <c r="Q76" s="209"/>
      <c r="R76" s="209"/>
    </row>
    <row r="77" spans="1:18" s="210" customFormat="1" ht="19.5" customHeight="1">
      <c r="A77" s="202"/>
      <c r="B77" s="274"/>
      <c r="C77" s="275"/>
      <c r="D77" s="275"/>
      <c r="E77" s="307"/>
      <c r="F77" s="275"/>
      <c r="H77" s="275"/>
      <c r="O77" s="202"/>
      <c r="P77" s="209"/>
      <c r="Q77" s="209"/>
      <c r="R77" s="209"/>
    </row>
    <row r="78" spans="1:18" s="210" customFormat="1" ht="16.5" customHeight="1">
      <c r="A78" s="202"/>
      <c r="B78" s="273"/>
      <c r="C78" s="273"/>
      <c r="D78" s="273"/>
      <c r="E78" s="308"/>
      <c r="F78" s="273"/>
      <c r="G78" s="202"/>
      <c r="H78" s="273"/>
      <c r="I78" s="202"/>
      <c r="J78" s="202"/>
      <c r="K78" s="202"/>
      <c r="L78" s="202"/>
      <c r="M78" s="202"/>
      <c r="N78" s="202"/>
      <c r="O78" s="202"/>
      <c r="P78" s="209"/>
      <c r="Q78" s="209"/>
      <c r="R78" s="209"/>
    </row>
    <row r="79" spans="1:15" s="210" customFormat="1" ht="19.5" customHeight="1">
      <c r="A79" s="209"/>
      <c r="B79" s="274"/>
      <c r="C79" s="274"/>
      <c r="D79" s="274"/>
      <c r="E79" s="309"/>
      <c r="F79" s="276"/>
      <c r="G79" s="276"/>
      <c r="H79" s="276"/>
      <c r="I79" s="209"/>
      <c r="J79" s="209"/>
      <c r="K79" s="209"/>
      <c r="L79" s="209"/>
      <c r="M79" s="209"/>
      <c r="N79" s="209"/>
      <c r="O79" s="209"/>
    </row>
    <row r="80" spans="1:15" s="210" customFormat="1" ht="19.5" customHeight="1">
      <c r="A80" s="276"/>
      <c r="B80" s="276"/>
      <c r="C80" s="276"/>
      <c r="D80" s="276"/>
      <c r="E80" s="309"/>
      <c r="F80" s="276"/>
      <c r="G80" s="276"/>
      <c r="H80" s="276"/>
      <c r="I80" s="209"/>
      <c r="J80" s="209"/>
      <c r="K80" s="209"/>
      <c r="L80" s="209"/>
      <c r="M80" s="209"/>
      <c r="N80" s="209"/>
      <c r="O80" s="209"/>
    </row>
    <row r="81" spans="1:8" s="210" customFormat="1" ht="19.5" customHeight="1">
      <c r="A81" s="276"/>
      <c r="B81" s="275"/>
      <c r="C81" s="275"/>
      <c r="D81" s="275"/>
      <c r="E81" s="310"/>
      <c r="F81" s="275"/>
      <c r="G81" s="275"/>
      <c r="H81" s="275"/>
    </row>
    <row r="82" spans="1:8" s="210" customFormat="1" ht="19.5" customHeight="1">
      <c r="A82" s="276"/>
      <c r="B82" s="275"/>
      <c r="C82" s="275"/>
      <c r="D82" s="275"/>
      <c r="E82" s="310"/>
      <c r="F82" s="275"/>
      <c r="G82" s="275"/>
      <c r="H82" s="275"/>
    </row>
    <row r="83" spans="1:8" s="210" customFormat="1" ht="19.5" customHeight="1">
      <c r="A83" s="276"/>
      <c r="B83" s="275"/>
      <c r="C83" s="275"/>
      <c r="D83" s="275"/>
      <c r="E83" s="310"/>
      <c r="F83" s="275"/>
      <c r="G83" s="275"/>
      <c r="H83" s="275"/>
    </row>
    <row r="84" spans="1:8" s="210" customFormat="1" ht="19.5" customHeight="1">
      <c r="A84" s="276"/>
      <c r="B84" s="275"/>
      <c r="C84" s="275"/>
      <c r="D84" s="275"/>
      <c r="E84" s="310"/>
      <c r="F84" s="275"/>
      <c r="G84" s="275"/>
      <c r="H84" s="275"/>
    </row>
    <row r="85" spans="1:8" s="210" customFormat="1" ht="19.5" customHeight="1">
      <c r="A85" s="276"/>
      <c r="B85" s="275"/>
      <c r="C85" s="275"/>
      <c r="D85" s="275"/>
      <c r="E85" s="310"/>
      <c r="F85" s="275"/>
      <c r="G85" s="275"/>
      <c r="H85" s="275"/>
    </row>
    <row r="86" spans="1:8" s="210" customFormat="1" ht="19.5" customHeight="1">
      <c r="A86" s="276"/>
      <c r="B86" s="275"/>
      <c r="C86" s="275"/>
      <c r="D86" s="275"/>
      <c r="E86" s="310"/>
      <c r="F86" s="275"/>
      <c r="G86" s="275"/>
      <c r="H86" s="275"/>
    </row>
    <row r="87" spans="1:8" s="210" customFormat="1" ht="19.5" customHeight="1">
      <c r="A87" s="276"/>
      <c r="B87" s="275"/>
      <c r="C87" s="275"/>
      <c r="D87" s="275"/>
      <c r="E87" s="310"/>
      <c r="F87" s="275"/>
      <c r="G87" s="275"/>
      <c r="H87" s="275"/>
    </row>
    <row r="88" spans="1:8" s="210" customFormat="1" ht="19.5" customHeight="1">
      <c r="A88" s="276"/>
      <c r="B88" s="275"/>
      <c r="C88" s="275"/>
      <c r="D88" s="275"/>
      <c r="E88" s="310"/>
      <c r="F88" s="275"/>
      <c r="G88" s="275"/>
      <c r="H88" s="275"/>
    </row>
    <row r="89" spans="1:8" s="210" customFormat="1" ht="19.5" customHeight="1">
      <c r="A89" s="276"/>
      <c r="B89" s="275"/>
      <c r="C89" s="275"/>
      <c r="D89" s="275"/>
      <c r="E89" s="310"/>
      <c r="F89" s="275"/>
      <c r="G89" s="275"/>
      <c r="H89" s="275"/>
    </row>
    <row r="90" spans="1:8" s="210" customFormat="1" ht="19.5" customHeight="1">
      <c r="A90" s="276"/>
      <c r="B90" s="275"/>
      <c r="C90" s="275"/>
      <c r="D90" s="275"/>
      <c r="E90" s="310"/>
      <c r="F90" s="275"/>
      <c r="G90" s="275"/>
      <c r="H90" s="275"/>
    </row>
    <row r="91" spans="1:8" s="210" customFormat="1" ht="13.5" customHeight="1">
      <c r="A91" s="276"/>
      <c r="B91" s="275"/>
      <c r="C91" s="275"/>
      <c r="D91" s="275"/>
      <c r="E91" s="310"/>
      <c r="F91" s="275"/>
      <c r="G91" s="275"/>
      <c r="H91" s="275"/>
    </row>
    <row r="92" spans="1:8" s="210" customFormat="1" ht="13.5" customHeight="1">
      <c r="A92" s="276"/>
      <c r="B92" s="275"/>
      <c r="C92" s="275"/>
      <c r="D92" s="275"/>
      <c r="E92" s="310"/>
      <c r="F92" s="275"/>
      <c r="G92" s="275"/>
      <c r="H92" s="275"/>
    </row>
    <row r="93" spans="1:8" s="210" customFormat="1" ht="13.5" customHeight="1">
      <c r="A93" s="276"/>
      <c r="B93" s="275"/>
      <c r="C93" s="275"/>
      <c r="D93" s="275"/>
      <c r="E93" s="310"/>
      <c r="F93" s="275"/>
      <c r="G93" s="275"/>
      <c r="H93" s="275"/>
    </row>
    <row r="94" spans="1:8" s="210" customFormat="1" ht="13.5" customHeight="1">
      <c r="A94" s="276"/>
      <c r="B94" s="275"/>
      <c r="C94" s="275"/>
      <c r="D94" s="275"/>
      <c r="E94" s="310"/>
      <c r="F94" s="275"/>
      <c r="G94" s="275"/>
      <c r="H94" s="275"/>
    </row>
    <row r="95" spans="1:8" s="210" customFormat="1" ht="13.5" customHeight="1">
      <c r="A95" s="276"/>
      <c r="B95" s="275"/>
      <c r="C95" s="275"/>
      <c r="D95" s="275"/>
      <c r="E95" s="310"/>
      <c r="F95" s="275"/>
      <c r="G95" s="275"/>
      <c r="H95" s="275"/>
    </row>
    <row r="96" spans="1:8" s="210" customFormat="1" ht="13.5" customHeight="1">
      <c r="A96" s="276"/>
      <c r="B96" s="275"/>
      <c r="C96" s="275"/>
      <c r="D96" s="275"/>
      <c r="E96" s="310"/>
      <c r="F96" s="275"/>
      <c r="G96" s="275"/>
      <c r="H96" s="275"/>
    </row>
    <row r="97" spans="1:8" s="210" customFormat="1" ht="13.5" customHeight="1">
      <c r="A97" s="276"/>
      <c r="B97" s="275"/>
      <c r="C97" s="275"/>
      <c r="D97" s="275"/>
      <c r="E97" s="310"/>
      <c r="F97" s="275"/>
      <c r="G97" s="275"/>
      <c r="H97" s="275"/>
    </row>
    <row r="98" spans="1:8" s="210" customFormat="1" ht="13.5" customHeight="1">
      <c r="A98" s="276"/>
      <c r="B98" s="275"/>
      <c r="C98" s="275"/>
      <c r="D98" s="275"/>
      <c r="E98" s="310"/>
      <c r="F98" s="275"/>
      <c r="G98" s="275"/>
      <c r="H98" s="275"/>
    </row>
    <row r="99" spans="1:8" s="210" customFormat="1" ht="13.5" customHeight="1">
      <c r="A99" s="276"/>
      <c r="B99" s="275"/>
      <c r="C99" s="275"/>
      <c r="D99" s="275"/>
      <c r="E99" s="310"/>
      <c r="F99" s="275"/>
      <c r="G99" s="275"/>
      <c r="H99" s="275"/>
    </row>
    <row r="100" spans="1:8" s="210" customFormat="1" ht="13.5" customHeight="1">
      <c r="A100" s="276"/>
      <c r="B100" s="275"/>
      <c r="C100" s="275"/>
      <c r="D100" s="275"/>
      <c r="E100" s="310"/>
      <c r="F100" s="275"/>
      <c r="G100" s="275"/>
      <c r="H100" s="275"/>
    </row>
    <row r="101" spans="1:8" s="311" customFormat="1" ht="12.75" customHeight="1">
      <c r="A101" s="276"/>
      <c r="B101" s="275"/>
      <c r="C101" s="275"/>
      <c r="D101" s="275"/>
      <c r="E101" s="310"/>
      <c r="F101" s="275"/>
      <c r="G101" s="275"/>
      <c r="H101" s="275"/>
    </row>
    <row r="102" spans="1:8" s="311" customFormat="1" ht="12.75" customHeight="1">
      <c r="A102" s="276"/>
      <c r="B102" s="275"/>
      <c r="C102" s="275"/>
      <c r="D102" s="275"/>
      <c r="E102" s="310"/>
      <c r="F102" s="275"/>
      <c r="G102" s="275"/>
      <c r="H102" s="275"/>
    </row>
    <row r="103" spans="10:15" ht="11.25">
      <c r="J103" s="275"/>
      <c r="M103" s="276"/>
      <c r="N103" s="276"/>
      <c r="O103" s="276"/>
    </row>
    <row r="104" spans="10:15" ht="11.25">
      <c r="J104" s="275"/>
      <c r="M104" s="276"/>
      <c r="N104" s="276"/>
      <c r="O104" s="276"/>
    </row>
    <row r="105" spans="10:15" ht="11.25">
      <c r="J105" s="275"/>
      <c r="M105" s="276"/>
      <c r="N105" s="276"/>
      <c r="O105" s="276"/>
    </row>
    <row r="106" spans="10:15" ht="11.25">
      <c r="J106" s="275"/>
      <c r="M106" s="276"/>
      <c r="N106" s="276"/>
      <c r="O106" s="276"/>
    </row>
    <row r="107" spans="10:15" ht="11.25">
      <c r="J107" s="275"/>
      <c r="M107" s="276"/>
      <c r="N107" s="276"/>
      <c r="O107" s="276"/>
    </row>
    <row r="108" spans="13:15" ht="11.25">
      <c r="M108" s="276"/>
      <c r="N108" s="276"/>
      <c r="O108" s="209"/>
    </row>
    <row r="109" spans="13:15" ht="11.25">
      <c r="M109" s="276"/>
      <c r="N109" s="276"/>
      <c r="O109" s="209"/>
    </row>
    <row r="110" spans="13:15" ht="11.25">
      <c r="M110" s="276"/>
      <c r="N110" s="276"/>
      <c r="O110" s="209"/>
    </row>
    <row r="111" spans="13:15" ht="11.25">
      <c r="M111" s="276"/>
      <c r="N111" s="276"/>
      <c r="O111" s="209"/>
    </row>
    <row r="112" spans="13:15" ht="11.25">
      <c r="M112" s="276"/>
      <c r="N112" s="276"/>
      <c r="O112" s="209"/>
    </row>
    <row r="113" spans="13:15" ht="11.25">
      <c r="M113" s="276"/>
      <c r="N113" s="276"/>
      <c r="O113" s="209"/>
    </row>
    <row r="114" spans="13:15" ht="11.25">
      <c r="M114" s="276"/>
      <c r="N114" s="276"/>
      <c r="O114" s="209"/>
    </row>
    <row r="115" spans="13:15" ht="11.25">
      <c r="M115" s="276"/>
      <c r="N115" s="276"/>
      <c r="O115" s="209"/>
    </row>
    <row r="116" spans="13:15" ht="11.25">
      <c r="M116" s="276"/>
      <c r="N116" s="276"/>
      <c r="O116" s="209"/>
    </row>
    <row r="117" spans="13:15" ht="11.25">
      <c r="M117" s="276"/>
      <c r="N117" s="276"/>
      <c r="O117" s="209"/>
    </row>
    <row r="118" spans="10:15" ht="11.25">
      <c r="J118" s="275"/>
      <c r="M118" s="276"/>
      <c r="N118" s="276"/>
      <c r="O118" s="209"/>
    </row>
    <row r="119" spans="10:15" ht="11.25">
      <c r="J119" s="275"/>
      <c r="M119" s="276"/>
      <c r="N119" s="276"/>
      <c r="O119" s="209"/>
    </row>
    <row r="120" spans="10:15" ht="11.25">
      <c r="J120" s="275"/>
      <c r="M120" s="276"/>
      <c r="N120" s="276"/>
      <c r="O120" s="209"/>
    </row>
    <row r="121" spans="10:15" ht="11.25">
      <c r="J121" s="275"/>
      <c r="M121" s="276"/>
      <c r="N121" s="276"/>
      <c r="O121" s="209"/>
    </row>
    <row r="122" spans="10:15" ht="11.25">
      <c r="J122" s="275"/>
      <c r="M122" s="276"/>
      <c r="N122" s="276"/>
      <c r="O122" s="209"/>
    </row>
    <row r="123" spans="10:15" ht="11.25">
      <c r="J123" s="275"/>
      <c r="M123" s="276"/>
      <c r="N123" s="276"/>
      <c r="O123" s="209"/>
    </row>
    <row r="124" spans="10:15" ht="11.25">
      <c r="J124" s="275"/>
      <c r="M124" s="276"/>
      <c r="N124" s="276"/>
      <c r="O124" s="209"/>
    </row>
    <row r="125" spans="10:15" ht="11.25">
      <c r="J125" s="275"/>
      <c r="M125" s="276"/>
      <c r="N125" s="276"/>
      <c r="O125" s="209"/>
    </row>
    <row r="126" spans="10:15" ht="11.25">
      <c r="J126" s="275"/>
      <c r="M126" s="276"/>
      <c r="N126" s="276"/>
      <c r="O126" s="209"/>
    </row>
    <row r="127" spans="10:15" ht="11.25">
      <c r="J127" s="275"/>
      <c r="L127" s="210"/>
      <c r="M127" s="209"/>
      <c r="N127" s="276"/>
      <c r="O127" s="209"/>
    </row>
    <row r="128" spans="10:15" ht="11.25">
      <c r="J128" s="275"/>
      <c r="L128" s="210"/>
      <c r="M128" s="209"/>
      <c r="N128" s="276"/>
      <c r="O128" s="209"/>
    </row>
    <row r="129" spans="10:15" ht="11.25">
      <c r="J129" s="275"/>
      <c r="L129" s="210"/>
      <c r="M129" s="209"/>
      <c r="N129" s="276"/>
      <c r="O129" s="209"/>
    </row>
    <row r="130" spans="10:15" ht="11.25">
      <c r="J130" s="275"/>
      <c r="L130" s="210"/>
      <c r="M130" s="209"/>
      <c r="N130" s="276"/>
      <c r="O130" s="209"/>
    </row>
    <row r="131" spans="10:15" ht="11.25">
      <c r="J131" s="275"/>
      <c r="L131" s="210"/>
      <c r="M131" s="209"/>
      <c r="N131" s="276"/>
      <c r="O131" s="209"/>
    </row>
    <row r="132" spans="10:15" ht="11.25">
      <c r="J132" s="275"/>
      <c r="L132" s="210"/>
      <c r="M132" s="209"/>
      <c r="N132" s="276"/>
      <c r="O132" s="209"/>
    </row>
    <row r="133" spans="10:15" ht="11.25">
      <c r="J133" s="275"/>
      <c r="L133" s="210"/>
      <c r="M133" s="209"/>
      <c r="N133" s="276"/>
      <c r="O133" s="209"/>
    </row>
    <row r="134" spans="10:15" ht="11.25">
      <c r="J134" s="275"/>
      <c r="L134" s="210"/>
      <c r="M134" s="209"/>
      <c r="N134" s="276"/>
      <c r="O134" s="209"/>
    </row>
    <row r="135" spans="10:15" ht="11.25">
      <c r="J135" s="275"/>
      <c r="L135" s="210"/>
      <c r="M135" s="209"/>
      <c r="N135" s="276"/>
      <c r="O135" s="209"/>
    </row>
    <row r="136" spans="10:15" ht="11.25">
      <c r="J136" s="275"/>
      <c r="L136" s="210"/>
      <c r="M136" s="209"/>
      <c r="N136" s="276"/>
      <c r="O136" s="209"/>
    </row>
    <row r="137" spans="10:15" ht="11.25">
      <c r="J137" s="275"/>
      <c r="L137" s="210"/>
      <c r="M137" s="209"/>
      <c r="N137" s="276"/>
      <c r="O137" s="209"/>
    </row>
    <row r="138" spans="10:15" ht="11.25">
      <c r="J138" s="275"/>
      <c r="L138" s="210"/>
      <c r="M138" s="209"/>
      <c r="N138" s="276"/>
      <c r="O138" s="209"/>
    </row>
    <row r="139" spans="10:15" ht="11.25">
      <c r="J139" s="275"/>
      <c r="L139" s="210"/>
      <c r="M139" s="209"/>
      <c r="N139" s="276"/>
      <c r="O139" s="209"/>
    </row>
    <row r="140" spans="10:15" ht="11.25">
      <c r="J140" s="275"/>
      <c r="L140" s="312"/>
      <c r="M140" s="313"/>
      <c r="N140" s="276"/>
      <c r="O140" s="209"/>
    </row>
    <row r="141" spans="10:15" ht="11.25">
      <c r="J141" s="275"/>
      <c r="L141" s="210"/>
      <c r="M141" s="209"/>
      <c r="N141" s="276"/>
      <c r="O141" s="209"/>
    </row>
    <row r="142" spans="10:15" ht="11.25">
      <c r="J142" s="275"/>
      <c r="L142" s="210"/>
      <c r="M142" s="209"/>
      <c r="N142" s="276"/>
      <c r="O142" s="209"/>
    </row>
    <row r="143" spans="10:15" ht="11.25">
      <c r="J143" s="275"/>
      <c r="L143" s="210"/>
      <c r="M143" s="209"/>
      <c r="N143" s="276"/>
      <c r="O143" s="209"/>
    </row>
    <row r="144" spans="10:15" ht="11.25">
      <c r="J144" s="275"/>
      <c r="L144" s="210"/>
      <c r="M144" s="209"/>
      <c r="N144" s="276"/>
      <c r="O144" s="209"/>
    </row>
    <row r="145" spans="10:15" ht="11.25">
      <c r="J145" s="275"/>
      <c r="L145" s="210"/>
      <c r="M145" s="209"/>
      <c r="N145" s="276"/>
      <c r="O145" s="209"/>
    </row>
    <row r="146" spans="10:15" ht="11.25">
      <c r="J146" s="275"/>
      <c r="L146" s="210"/>
      <c r="M146" s="209"/>
      <c r="N146" s="276"/>
      <c r="O146" s="209"/>
    </row>
    <row r="147" spans="10:15" ht="11.25">
      <c r="J147" s="275"/>
      <c r="L147" s="210"/>
      <c r="M147" s="209"/>
      <c r="N147" s="276"/>
      <c r="O147" s="209"/>
    </row>
    <row r="148" spans="10:15" ht="11.25">
      <c r="J148" s="275"/>
      <c r="L148" s="210"/>
      <c r="M148" s="209"/>
      <c r="N148" s="276"/>
      <c r="O148" s="209"/>
    </row>
    <row r="149" spans="10:15" ht="11.25">
      <c r="J149" s="275"/>
      <c r="L149" s="210"/>
      <c r="M149" s="209"/>
      <c r="N149" s="276"/>
      <c r="O149" s="209"/>
    </row>
    <row r="150" spans="10:15" ht="11.25">
      <c r="J150" s="275"/>
      <c r="M150" s="276"/>
      <c r="N150" s="276"/>
      <c r="O150" s="209"/>
    </row>
    <row r="151" spans="10:15" ht="11.25">
      <c r="J151" s="275"/>
      <c r="M151" s="276"/>
      <c r="N151" s="276"/>
      <c r="O151" s="209"/>
    </row>
    <row r="152" spans="10:15" ht="11.25">
      <c r="J152" s="275"/>
      <c r="M152" s="276"/>
      <c r="N152" s="276"/>
      <c r="O152" s="209"/>
    </row>
    <row r="153" spans="10:15" ht="11.25">
      <c r="J153" s="275"/>
      <c r="M153" s="276"/>
      <c r="N153" s="276"/>
      <c r="O153" s="209"/>
    </row>
    <row r="154" spans="10:15" ht="11.25">
      <c r="J154" s="275"/>
      <c r="M154" s="276"/>
      <c r="N154" s="276"/>
      <c r="O154" s="209"/>
    </row>
    <row r="155" spans="10:15" ht="11.25">
      <c r="J155" s="275"/>
      <c r="M155" s="276"/>
      <c r="N155" s="276"/>
      <c r="O155" s="209"/>
    </row>
    <row r="156" spans="10:15" ht="11.25">
      <c r="J156" s="275"/>
      <c r="M156" s="276"/>
      <c r="N156" s="276"/>
      <c r="O156" s="209"/>
    </row>
    <row r="157" spans="10:15" ht="11.25">
      <c r="J157" s="275"/>
      <c r="M157" s="276"/>
      <c r="N157" s="276"/>
      <c r="O157" s="209"/>
    </row>
    <row r="158" spans="10:15" ht="11.25">
      <c r="J158" s="275"/>
      <c r="M158" s="276"/>
      <c r="N158" s="276"/>
      <c r="O158" s="209"/>
    </row>
    <row r="159" spans="10:15" ht="11.25">
      <c r="J159" s="275"/>
      <c r="M159" s="276"/>
      <c r="N159" s="276"/>
      <c r="O159" s="209"/>
    </row>
    <row r="160" spans="10:15" ht="11.25">
      <c r="J160" s="275"/>
      <c r="M160" s="276"/>
      <c r="N160" s="276"/>
      <c r="O160" s="209"/>
    </row>
    <row r="161" spans="10:15" ht="11.25">
      <c r="J161" s="275"/>
      <c r="M161" s="276"/>
      <c r="N161" s="276"/>
      <c r="O161" s="209"/>
    </row>
    <row r="162" spans="10:15" ht="11.25">
      <c r="J162" s="275"/>
      <c r="M162" s="276"/>
      <c r="N162" s="276"/>
      <c r="O162" s="209"/>
    </row>
    <row r="163" spans="10:15" ht="11.25">
      <c r="J163" s="275"/>
      <c r="M163" s="276"/>
      <c r="N163" s="276"/>
      <c r="O163" s="209"/>
    </row>
    <row r="164" spans="10:15" ht="11.25">
      <c r="J164" s="275"/>
      <c r="M164" s="276"/>
      <c r="N164" s="276"/>
      <c r="O164" s="276"/>
    </row>
    <row r="165" spans="10:15" ht="11.25">
      <c r="J165" s="275"/>
      <c r="M165" s="276"/>
      <c r="N165" s="276"/>
      <c r="O165" s="276"/>
    </row>
    <row r="166" spans="10:15" ht="11.25">
      <c r="J166" s="275"/>
      <c r="M166" s="276"/>
      <c r="N166" s="276"/>
      <c r="O166" s="276"/>
    </row>
    <row r="167" spans="10:15" ht="11.25">
      <c r="J167" s="275"/>
      <c r="M167" s="276"/>
      <c r="N167" s="276"/>
      <c r="O167" s="276"/>
    </row>
    <row r="168" spans="10:15" ht="11.25">
      <c r="J168" s="275"/>
      <c r="M168" s="276"/>
      <c r="N168" s="276"/>
      <c r="O168" s="276"/>
    </row>
    <row r="169" spans="10:16" ht="11.25">
      <c r="J169" s="210"/>
      <c r="K169" s="210"/>
      <c r="M169" s="276"/>
      <c r="N169" s="276"/>
      <c r="O169" s="276"/>
      <c r="P169" s="210"/>
    </row>
    <row r="170" spans="10:15" ht="11.25">
      <c r="J170" s="275"/>
      <c r="M170" s="276"/>
      <c r="N170" s="276"/>
      <c r="O170" s="276"/>
    </row>
    <row r="171" spans="10:15" ht="11.25">
      <c r="J171" s="275"/>
      <c r="M171" s="276"/>
      <c r="N171" s="276"/>
      <c r="O171" s="276"/>
    </row>
    <row r="172" spans="10:15" ht="11.25">
      <c r="J172" s="275"/>
      <c r="M172" s="276"/>
      <c r="N172" s="276"/>
      <c r="O172" s="276"/>
    </row>
    <row r="173" spans="1:16" s="210" customFormat="1" ht="29.25" customHeight="1">
      <c r="A173" s="276"/>
      <c r="B173" s="275"/>
      <c r="C173" s="275"/>
      <c r="D173" s="275"/>
      <c r="E173" s="310"/>
      <c r="F173" s="275"/>
      <c r="G173" s="275"/>
      <c r="H173" s="275"/>
      <c r="J173" s="275"/>
      <c r="K173" s="275"/>
      <c r="M173" s="209"/>
      <c r="N173" s="209"/>
      <c r="O173" s="209"/>
      <c r="P173" s="275"/>
    </row>
    <row r="174" spans="13:15" ht="11.25">
      <c r="M174" s="276"/>
      <c r="N174" s="276"/>
      <c r="O174" s="276"/>
    </row>
    <row r="175" spans="13:15" ht="11.25">
      <c r="M175" s="276"/>
      <c r="N175" s="276"/>
      <c r="O175" s="276"/>
    </row>
    <row r="176" spans="13:15" ht="11.25">
      <c r="M176" s="276"/>
      <c r="N176" s="276"/>
      <c r="O176" s="276"/>
    </row>
    <row r="177" ht="11.25">
      <c r="M177" s="275"/>
    </row>
    <row r="178" ht="11.25">
      <c r="O178" s="210"/>
    </row>
  </sheetData>
  <sheetProtection/>
  <mergeCells count="6">
    <mergeCell ref="C23:F23"/>
    <mergeCell ref="C9:F9"/>
    <mergeCell ref="C13:F13"/>
    <mergeCell ref="C17:F17"/>
    <mergeCell ref="C18:F18"/>
    <mergeCell ref="C19:F1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B3:S60"/>
  <sheetViews>
    <sheetView showGridLines="0" zoomScale="85" zoomScaleNormal="85" zoomScalePageLayoutView="0" workbookViewId="0" topLeftCell="A1">
      <pane xSplit="4" ySplit="1" topLeftCell="E22" activePane="bottomRight" state="frozen"/>
      <selection pane="topLeft" activeCell="O47" sqref="O47"/>
      <selection pane="topRight" activeCell="O47" sqref="O47"/>
      <selection pane="bottomLeft" activeCell="O47" sqref="O47"/>
      <selection pane="bottomRight" activeCell="H39" sqref="H39"/>
    </sheetView>
  </sheetViews>
  <sheetFormatPr defaultColWidth="9.140625" defaultRowHeight="15"/>
  <cols>
    <col min="1" max="1" width="3.421875" style="321" customWidth="1"/>
    <col min="2" max="2" width="43.28125" style="321" customWidth="1"/>
    <col min="3" max="4" width="10.28125" style="321" customWidth="1"/>
    <col min="5" max="5" width="13.00390625" style="321" customWidth="1"/>
    <col min="6" max="6" width="5.28125" style="321" customWidth="1"/>
    <col min="7" max="9" width="14.421875" style="321" customWidth="1"/>
    <col min="10" max="10" width="12.57421875" style="321" bestFit="1" customWidth="1"/>
    <col min="11" max="15" width="14.421875" style="321" customWidth="1"/>
    <col min="16" max="16" width="11.8515625" style="321" customWidth="1"/>
    <col min="17" max="17" width="5.57421875" style="321" customWidth="1"/>
    <col min="18" max="18" width="11.8515625" style="321" customWidth="1"/>
    <col min="19" max="19" width="16.7109375" style="321" bestFit="1" customWidth="1"/>
    <col min="20" max="16384" width="9.140625" style="321" customWidth="1"/>
  </cols>
  <sheetData>
    <row r="1" s="314" customFormat="1" ht="12.75"/>
    <row r="3" spans="2:18" s="316" customFormat="1" ht="60">
      <c r="B3" s="315" t="s">
        <v>186</v>
      </c>
      <c r="C3" s="315"/>
      <c r="E3" s="317"/>
      <c r="F3" s="317"/>
      <c r="G3" s="318" t="s">
        <v>187</v>
      </c>
      <c r="H3" s="318" t="s">
        <v>3</v>
      </c>
      <c r="I3" s="318" t="s">
        <v>188</v>
      </c>
      <c r="J3" s="318" t="s">
        <v>189</v>
      </c>
      <c r="K3" s="318" t="s">
        <v>190</v>
      </c>
      <c r="L3" s="318" t="s">
        <v>191</v>
      </c>
      <c r="M3" s="318" t="s">
        <v>192</v>
      </c>
      <c r="N3" s="318" t="s">
        <v>193</v>
      </c>
      <c r="O3" s="318" t="s">
        <v>194</v>
      </c>
      <c r="P3" s="318" t="s">
        <v>195</v>
      </c>
      <c r="Q3" s="317"/>
      <c r="R3" s="317"/>
    </row>
    <row r="5" spans="2:4" s="320" customFormat="1" ht="12.75">
      <c r="B5" s="319" t="s">
        <v>196</v>
      </c>
      <c r="C5" s="319"/>
      <c r="D5" s="319"/>
    </row>
    <row r="6" spans="7:18" ht="12.75"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</row>
    <row r="7" spans="2:19" ht="12.75">
      <c r="B7" s="321" t="s">
        <v>197</v>
      </c>
      <c r="D7" s="321" t="s">
        <v>198</v>
      </c>
      <c r="E7" s="323"/>
      <c r="F7" s="323"/>
      <c r="G7" s="324">
        <v>20974689.139083423</v>
      </c>
      <c r="H7" s="324">
        <v>28191962.10643756</v>
      </c>
      <c r="I7" s="324">
        <v>56313253.41717228</v>
      </c>
      <c r="J7" s="324">
        <v>255402247.48385102</v>
      </c>
      <c r="K7" s="324">
        <v>24634122.018842854</v>
      </c>
      <c r="L7" s="324">
        <v>300101545.81190544</v>
      </c>
      <c r="M7" s="324">
        <v>16801466.255111758</v>
      </c>
      <c r="N7" s="324">
        <v>260487879.13734913</v>
      </c>
      <c r="O7" s="324">
        <v>15550254.477646317</v>
      </c>
      <c r="P7" s="324">
        <v>9673806.019982632</v>
      </c>
      <c r="Q7" s="325"/>
      <c r="R7" s="326" t="s">
        <v>199</v>
      </c>
      <c r="S7" s="323"/>
    </row>
    <row r="8" spans="2:19" ht="15">
      <c r="B8" s="321" t="s">
        <v>200</v>
      </c>
      <c r="C8" s="327"/>
      <c r="E8" s="328"/>
      <c r="F8" s="328"/>
      <c r="G8" s="329">
        <v>-0.5</v>
      </c>
      <c r="H8" s="330">
        <v>-0.5</v>
      </c>
      <c r="I8" s="330">
        <v>-1.6</v>
      </c>
      <c r="J8" s="330">
        <v>-3.4</v>
      </c>
      <c r="K8" s="329">
        <v>1</v>
      </c>
      <c r="L8" s="330">
        <v>-2.7</v>
      </c>
      <c r="M8" s="330">
        <v>-1.3</v>
      </c>
      <c r="N8" s="329">
        <v>-2.8</v>
      </c>
      <c r="O8" s="329">
        <v>-5.5</v>
      </c>
      <c r="P8" s="330">
        <v>20.6</v>
      </c>
      <c r="R8" s="326" t="s">
        <v>199</v>
      </c>
      <c r="S8" s="328"/>
    </row>
    <row r="9" spans="2:18" ht="12.75">
      <c r="B9" s="321" t="s">
        <v>201</v>
      </c>
      <c r="C9" s="327"/>
      <c r="E9" s="327"/>
      <c r="F9" s="327"/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  <c r="N9" s="331">
        <v>0</v>
      </c>
      <c r="O9" s="331">
        <v>0</v>
      </c>
      <c r="P9" s="331">
        <v>0</v>
      </c>
      <c r="R9" s="332" t="s">
        <v>199</v>
      </c>
    </row>
    <row r="10" spans="5:18" ht="12.75">
      <c r="E10" s="327"/>
      <c r="F10" s="327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27"/>
      <c r="R10" s="327"/>
    </row>
    <row r="11" spans="2:18" ht="12.75">
      <c r="B11" s="321" t="s">
        <v>202</v>
      </c>
      <c r="C11" s="327"/>
      <c r="E11" s="334">
        <f>'[8]CPI'!C11</f>
        <v>0.015</v>
      </c>
      <c r="F11" s="335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27"/>
      <c r="R11" s="327"/>
    </row>
    <row r="12" spans="2:18" ht="12.75">
      <c r="B12" s="321" t="s">
        <v>203</v>
      </c>
      <c r="C12" s="327"/>
      <c r="D12" s="321" t="s">
        <v>204</v>
      </c>
      <c r="E12" s="336"/>
      <c r="F12" s="336"/>
      <c r="G12" s="337">
        <f aca="true" t="shared" si="0" ref="G12:P12">G7*(1-G8/100+$E$11)</f>
        <v>21394182.921865087</v>
      </c>
      <c r="H12" s="337">
        <f t="shared" si="0"/>
        <v>28755801.348566305</v>
      </c>
      <c r="I12" s="337">
        <f t="shared" si="0"/>
        <v>58058964.273104616</v>
      </c>
      <c r="J12" s="337">
        <f t="shared" si="0"/>
        <v>267916957.6105597</v>
      </c>
      <c r="K12" s="337">
        <f t="shared" si="0"/>
        <v>24757292.628937066</v>
      </c>
      <c r="L12" s="337">
        <f t="shared" si="0"/>
        <v>312705810.7360054</v>
      </c>
      <c r="M12" s="337">
        <f t="shared" si="0"/>
        <v>17271907.310254883</v>
      </c>
      <c r="N12" s="337">
        <f t="shared" si="0"/>
        <v>271688857.9402551</v>
      </c>
      <c r="O12" s="337">
        <f t="shared" si="0"/>
        <v>16638772.291081557</v>
      </c>
      <c r="P12" s="337">
        <f t="shared" si="0"/>
        <v>7826109.07016595</v>
      </c>
      <c r="Q12" s="323"/>
      <c r="R12" s="323"/>
    </row>
    <row r="13" spans="3:18" ht="12.75">
      <c r="C13" s="327"/>
      <c r="E13" s="336"/>
      <c r="F13" s="336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23"/>
      <c r="R13" s="323"/>
    </row>
    <row r="14" spans="2:18" ht="12.75">
      <c r="B14" s="321" t="s">
        <v>205</v>
      </c>
      <c r="C14" s="327"/>
      <c r="E14" s="338">
        <f>'[8]CPI'!C12</f>
        <v>0.026</v>
      </c>
      <c r="F14" s="339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23"/>
      <c r="R14" s="323"/>
    </row>
    <row r="15" spans="2:18" ht="12.75">
      <c r="B15" s="321" t="s">
        <v>206</v>
      </c>
      <c r="C15" s="327"/>
      <c r="D15" s="321" t="s">
        <v>207</v>
      </c>
      <c r="E15" s="336"/>
      <c r="F15" s="336"/>
      <c r="G15" s="337">
        <f>G12*(1-G8/100+$E$14)</f>
        <v>22057402.592442904</v>
      </c>
      <c r="H15" s="337">
        <f aca="true" t="shared" si="1" ref="H15:O15">H12*(1-H8/100+$E$14)</f>
        <v>29647231.190371856</v>
      </c>
      <c r="I15" s="337">
        <f t="shared" si="1"/>
        <v>60497440.77257501</v>
      </c>
      <c r="J15" s="337">
        <f t="shared" si="1"/>
        <v>283991975.06719327</v>
      </c>
      <c r="K15" s="337">
        <f>K12*(1-K8/100+$E$14)</f>
        <v>25153409.31100006</v>
      </c>
      <c r="L15" s="337">
        <f t="shared" si="1"/>
        <v>329279218.7050137</v>
      </c>
      <c r="M15" s="337">
        <f>M12*(1-M8/100+$E$14)</f>
        <v>17945511.695354823</v>
      </c>
      <c r="N15" s="337">
        <f>N12*(1-N8/100+$E$14)</f>
        <v>286360056.2690289</v>
      </c>
      <c r="O15" s="337">
        <f t="shared" si="1"/>
        <v>17986512.84665916</v>
      </c>
      <c r="P15" s="337">
        <f>P12*(1-P8/100+$E$14)</f>
        <v>6417409.437536079</v>
      </c>
      <c r="Q15" s="323"/>
      <c r="R15" s="323"/>
    </row>
    <row r="16" spans="3:16" ht="12.75">
      <c r="C16" s="327"/>
      <c r="F16" s="327"/>
      <c r="G16" s="333"/>
      <c r="H16" s="333"/>
      <c r="I16" s="333"/>
      <c r="J16" s="333"/>
      <c r="K16" s="333"/>
      <c r="L16" s="333"/>
      <c r="M16" s="333"/>
      <c r="N16" s="333"/>
      <c r="O16" s="333"/>
      <c r="P16" s="333"/>
    </row>
    <row r="17" spans="2:18" ht="12.75">
      <c r="B17" s="321" t="s">
        <v>208</v>
      </c>
      <c r="C17" s="327"/>
      <c r="E17" s="338">
        <f>'[8]CPI'!C13</f>
        <v>0.023</v>
      </c>
      <c r="F17" s="339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23"/>
      <c r="R17" s="323"/>
    </row>
    <row r="18" spans="2:18" ht="12.75">
      <c r="B18" s="321" t="s">
        <v>209</v>
      </c>
      <c r="C18" s="327"/>
      <c r="D18" s="321" t="s">
        <v>210</v>
      </c>
      <c r="E18" s="336"/>
      <c r="F18" s="336"/>
      <c r="G18" s="337">
        <f>G15*(1-G8/100+$E$17)</f>
        <v>22675009.865031302</v>
      </c>
      <c r="H18" s="337">
        <f>H15*(1-H8/100+$E$17)</f>
        <v>30477353.66370226</v>
      </c>
      <c r="I18" s="337">
        <f aca="true" t="shared" si="2" ref="I18:O18">I15*(1-I8/100+$E$17)</f>
        <v>62856840.96270543</v>
      </c>
      <c r="J18" s="337">
        <f t="shared" si="2"/>
        <v>300179517.6460233</v>
      </c>
      <c r="K18" s="337">
        <f t="shared" si="2"/>
        <v>25480403.63204306</v>
      </c>
      <c r="L18" s="337">
        <f>L15*(1-L8/100+$E$17)</f>
        <v>345743179.64026433</v>
      </c>
      <c r="M18" s="337">
        <f>M15*(1-M8/100+$E$17)</f>
        <v>18591550.116387594</v>
      </c>
      <c r="N18" s="337">
        <f>N15*(1-N8/100+$E$17)</f>
        <v>300964419.13874936</v>
      </c>
      <c r="O18" s="337">
        <f t="shared" si="2"/>
        <v>19389460.84869857</v>
      </c>
      <c r="P18" s="337">
        <f>P15*(1-P8/100+$E$17)</f>
        <v>5243023.510466977</v>
      </c>
      <c r="Q18" s="323"/>
      <c r="R18" s="323"/>
    </row>
    <row r="19" ht="12.75">
      <c r="F19" s="327"/>
    </row>
    <row r="20" ht="12.75">
      <c r="F20" s="327"/>
    </row>
    <row r="21" spans="2:4" s="320" customFormat="1" ht="12.75">
      <c r="B21" s="319" t="s">
        <v>211</v>
      </c>
      <c r="C21" s="319"/>
      <c r="D21" s="319"/>
    </row>
    <row r="23" ht="12.75">
      <c r="B23" s="340" t="s">
        <v>212</v>
      </c>
    </row>
    <row r="24" spans="2:16" ht="12.75">
      <c r="B24" s="341" t="s">
        <v>213</v>
      </c>
      <c r="D24" s="321" t="s">
        <v>210</v>
      </c>
      <c r="G24" s="342">
        <f>'[8]Nacalculaties en correcties'!F19</f>
        <v>-308621.91999196913</v>
      </c>
      <c r="H24" s="342">
        <f>'[8]Nacalculaties en correcties'!G19</f>
        <v>29629.785200140224</v>
      </c>
      <c r="I24" s="342">
        <f>'[8]Nacalculaties en correcties'!H19</f>
        <v>0</v>
      </c>
      <c r="J24" s="342">
        <f>'[8]Nacalculaties en correcties'!I19</f>
        <v>0</v>
      </c>
      <c r="K24" s="342">
        <f>'[8]Nacalculaties en correcties'!J19</f>
        <v>-25890.49110014015</v>
      </c>
      <c r="L24" s="342">
        <f>'[8]Nacalculaties en correcties'!K19</f>
        <v>1577035.3810538438</v>
      </c>
      <c r="M24" s="342">
        <f>'[8]Nacalculaties en correcties'!L19</f>
        <v>-70633.44286670108</v>
      </c>
      <c r="N24" s="342">
        <f>'[8]Nacalculaties en correcties'!M19</f>
        <v>-273773.0661292366</v>
      </c>
      <c r="O24" s="342">
        <f>'[8]Nacalculaties en correcties'!N19</f>
        <v>0</v>
      </c>
      <c r="P24" s="342">
        <f>'[8]Nacalculaties en correcties'!O19</f>
        <v>0</v>
      </c>
    </row>
    <row r="25" spans="2:16" ht="12.75">
      <c r="B25" s="343" t="s">
        <v>214</v>
      </c>
      <c r="D25" s="321" t="s">
        <v>210</v>
      </c>
      <c r="G25" s="342">
        <f>'[8]Nacalculaties en correcties'!F20</f>
        <v>-108357.91199833773</v>
      </c>
      <c r="H25" s="342">
        <f>'[8]Nacalculaties en correcties'!G20</f>
        <v>-137802.89852453323</v>
      </c>
      <c r="I25" s="342">
        <f>'[8]Nacalculaties en correcties'!H20</f>
        <v>-293485.8045098127</v>
      </c>
      <c r="J25" s="342">
        <f>'[8]Nacalculaties en correcties'!I20</f>
        <v>-1394077.8074711047</v>
      </c>
      <c r="K25" s="342">
        <f>'[8]Nacalculaties en correcties'!J20</f>
        <v>-118926.36654313153</v>
      </c>
      <c r="L25" s="342">
        <f>'[8]Nacalculaties en correcties'!K20</f>
        <v>-1622894.6422065566</v>
      </c>
      <c r="M25" s="342">
        <f>'[8]Nacalculaties en correcties'!L20</f>
        <v>-89152.31999691731</v>
      </c>
      <c r="N25" s="342">
        <f>'[8]Nacalculaties en correcties'!M20</f>
        <v>-1375785.8328529987</v>
      </c>
      <c r="O25" s="342">
        <f>'[8]Nacalculaties en correcties'!N20</f>
        <v>-36371.9507332918</v>
      </c>
      <c r="P25" s="342">
        <f>'[8]Nacalculaties en correcties'!O20</f>
        <v>0</v>
      </c>
    </row>
    <row r="27" spans="2:16" ht="12.75">
      <c r="B27" s="344" t="s">
        <v>215</v>
      </c>
      <c r="D27" s="321" t="s">
        <v>210</v>
      </c>
      <c r="G27" s="345">
        <f>SUM(G24:G25)</f>
        <v>-416979.83199030685</v>
      </c>
      <c r="H27" s="345">
        <f>SUM(H24:H25)</f>
        <v>-108173.11332439301</v>
      </c>
      <c r="I27" s="345">
        <f aca="true" t="shared" si="3" ref="I27:P27">SUM(I24:I25)</f>
        <v>-293485.8045098127</v>
      </c>
      <c r="J27" s="345">
        <f t="shared" si="3"/>
        <v>-1394077.8074711047</v>
      </c>
      <c r="K27" s="345">
        <f t="shared" si="3"/>
        <v>-144816.85764327168</v>
      </c>
      <c r="L27" s="345">
        <f>SUM(L24:L25)</f>
        <v>-45859.26115271286</v>
      </c>
      <c r="M27" s="345">
        <f t="shared" si="3"/>
        <v>-159785.76286361838</v>
      </c>
      <c r="N27" s="345">
        <f t="shared" si="3"/>
        <v>-1649558.8989822352</v>
      </c>
      <c r="O27" s="345">
        <f t="shared" si="3"/>
        <v>-36371.9507332918</v>
      </c>
      <c r="P27" s="345">
        <f t="shared" si="3"/>
        <v>0</v>
      </c>
    </row>
    <row r="29" spans="2:4" s="320" customFormat="1" ht="12.75">
      <c r="B29" s="319" t="s">
        <v>216</v>
      </c>
      <c r="C29" s="319"/>
      <c r="D29" s="319"/>
    </row>
    <row r="31" spans="2:16" ht="12.75">
      <c r="B31" s="321" t="s">
        <v>217</v>
      </c>
      <c r="D31" s="321" t="s">
        <v>210</v>
      </c>
      <c r="G31" s="346">
        <f>G18+G27</f>
        <v>22258030.033040997</v>
      </c>
      <c r="H31" s="346">
        <f aca="true" t="shared" si="4" ref="H31:N31">H18+H27</f>
        <v>30369180.550377868</v>
      </c>
      <c r="I31" s="346">
        <f t="shared" si="4"/>
        <v>62563355.15819562</v>
      </c>
      <c r="J31" s="346">
        <f>J18+J27</f>
        <v>298785439.8385522</v>
      </c>
      <c r="K31" s="346">
        <f t="shared" si="4"/>
        <v>25335586.774399787</v>
      </c>
      <c r="L31" s="346">
        <f>L18+L27</f>
        <v>345697320.37911165</v>
      </c>
      <c r="M31" s="346">
        <f t="shared" si="4"/>
        <v>18431764.353523977</v>
      </c>
      <c r="N31" s="346">
        <f t="shared" si="4"/>
        <v>299314860.23976713</v>
      </c>
      <c r="O31" s="346">
        <f>O18+O27</f>
        <v>19353088.89796528</v>
      </c>
      <c r="P31" s="346">
        <f>P18+P27</f>
        <v>5243023.510466977</v>
      </c>
    </row>
    <row r="32" ht="12.75">
      <c r="K32" s="347"/>
    </row>
    <row r="33" spans="5:16" ht="12.75">
      <c r="E33" s="327"/>
      <c r="F33" s="327"/>
      <c r="G33" s="348"/>
      <c r="H33" s="348"/>
      <c r="I33" s="348"/>
      <c r="J33" s="327"/>
      <c r="K33" s="348"/>
      <c r="L33" s="348"/>
      <c r="M33" s="348"/>
      <c r="N33" s="348"/>
      <c r="O33" s="348"/>
      <c r="P33" s="349"/>
    </row>
    <row r="34" s="351" customFormat="1" ht="12.75">
      <c r="B34" s="350" t="s">
        <v>218</v>
      </c>
    </row>
    <row r="35" s="353" customFormat="1" ht="12.75">
      <c r="B35" s="352"/>
    </row>
    <row r="36" spans="2:18" s="353" customFormat="1" ht="12.75">
      <c r="B36" s="352" t="s">
        <v>219</v>
      </c>
      <c r="D36" s="354" t="s">
        <v>220</v>
      </c>
      <c r="G36" s="355">
        <v>11</v>
      </c>
      <c r="H36" s="355">
        <v>8.6</v>
      </c>
      <c r="I36" s="355">
        <v>8.8</v>
      </c>
      <c r="J36" s="355">
        <v>21.6</v>
      </c>
      <c r="K36" s="355">
        <v>12.4</v>
      </c>
      <c r="L36" s="355">
        <v>9.1</v>
      </c>
      <c r="M36" s="355">
        <v>13.9</v>
      </c>
      <c r="N36" s="355">
        <v>-5.3</v>
      </c>
      <c r="O36" s="355">
        <v>4.8</v>
      </c>
      <c r="P36" s="355"/>
      <c r="R36" s="356" t="s">
        <v>221</v>
      </c>
    </row>
    <row r="37" spans="2:18" s="353" customFormat="1" ht="12.75">
      <c r="B37" s="352"/>
      <c r="D37" s="354" t="s">
        <v>222</v>
      </c>
      <c r="G37" s="355">
        <v>-3.6</v>
      </c>
      <c r="H37" s="355">
        <v>-2.7</v>
      </c>
      <c r="I37" s="355">
        <v>-5.8</v>
      </c>
      <c r="J37" s="355">
        <v>-5.5</v>
      </c>
      <c r="K37" s="355">
        <v>-5.5</v>
      </c>
      <c r="L37" s="355">
        <v>-5.9</v>
      </c>
      <c r="M37" s="355">
        <v>-5.1</v>
      </c>
      <c r="N37" s="355">
        <v>-5.7</v>
      </c>
      <c r="O37" s="355">
        <v>-5.4</v>
      </c>
      <c r="P37" s="355">
        <v>20.3</v>
      </c>
      <c r="R37" s="356" t="s">
        <v>223</v>
      </c>
    </row>
    <row r="38" spans="2:4" s="353" customFormat="1" ht="12.75">
      <c r="B38" s="352"/>
      <c r="D38" s="354"/>
    </row>
    <row r="39" spans="2:18" s="353" customFormat="1" ht="12.75">
      <c r="B39" s="352" t="s">
        <v>224</v>
      </c>
      <c r="D39" s="357" t="s">
        <v>220</v>
      </c>
      <c r="G39" s="358">
        <v>3605889.2733979793</v>
      </c>
      <c r="H39" s="358">
        <v>4650677.144951664</v>
      </c>
      <c r="I39" s="358">
        <v>9563909.145405231</v>
      </c>
      <c r="J39" s="358">
        <v>46586354.01626134</v>
      </c>
      <c r="K39" s="358">
        <v>3471582.3220156073</v>
      </c>
      <c r="L39" s="358">
        <v>52781264.98569616</v>
      </c>
      <c r="M39" s="358">
        <v>2501421.022190921</v>
      </c>
      <c r="N39" s="358">
        <v>46325086.83144474</v>
      </c>
      <c r="O39" s="358">
        <v>1824167.2357626858</v>
      </c>
      <c r="P39" s="359">
        <v>0</v>
      </c>
      <c r="R39" s="360" t="s">
        <v>225</v>
      </c>
    </row>
    <row r="40" spans="2:18" s="353" customFormat="1" ht="12.75">
      <c r="B40" s="352"/>
      <c r="D40" s="357" t="s">
        <v>222</v>
      </c>
      <c r="G40" s="358">
        <v>17634980.8286297</v>
      </c>
      <c r="H40" s="358">
        <v>23940076.893749405</v>
      </c>
      <c r="I40" s="358">
        <v>49419043.418720596</v>
      </c>
      <c r="J40" s="358">
        <v>235829671.69500667</v>
      </c>
      <c r="K40" s="358">
        <v>20467061.835449886</v>
      </c>
      <c r="L40" s="358">
        <v>272955567.01814866</v>
      </c>
      <c r="M40" s="358">
        <v>14955692.583819484</v>
      </c>
      <c r="N40" s="358">
        <v>236167390.1621584</v>
      </c>
      <c r="O40" s="358">
        <v>16518761.587996954</v>
      </c>
      <c r="P40" s="358">
        <v>4897476.252573276</v>
      </c>
      <c r="R40" s="360" t="s">
        <v>226</v>
      </c>
    </row>
    <row r="41" spans="2:18" s="353" customFormat="1" ht="12.75">
      <c r="B41" s="352"/>
      <c r="D41" s="357"/>
      <c r="R41" s="360"/>
    </row>
    <row r="42" spans="2:18" s="361" customFormat="1" ht="12.75">
      <c r="B42" s="354" t="s">
        <v>227</v>
      </c>
      <c r="D42" s="354" t="s">
        <v>220</v>
      </c>
      <c r="G42" s="362">
        <f>G39/(G39+G40)</f>
        <v>0.16976184384526494</v>
      </c>
      <c r="H42" s="362">
        <f aca="true" t="shared" si="5" ref="H42:P42">H39/(H39+H40)</f>
        <v>0.1626636757693206</v>
      </c>
      <c r="I42" s="362">
        <f t="shared" si="5"/>
        <v>0.16214700569639032</v>
      </c>
      <c r="J42" s="362">
        <f t="shared" si="5"/>
        <v>0.16495648183892211</v>
      </c>
      <c r="K42" s="362">
        <f t="shared" si="5"/>
        <v>0.14502000611145563</v>
      </c>
      <c r="L42" s="362">
        <f t="shared" si="5"/>
        <v>0.1620365270362584</v>
      </c>
      <c r="M42" s="362">
        <f t="shared" si="5"/>
        <v>0.14328949668573462</v>
      </c>
      <c r="N42" s="362">
        <f t="shared" si="5"/>
        <v>0.1639869752442779</v>
      </c>
      <c r="O42" s="362">
        <f t="shared" si="5"/>
        <v>0.09944798092438964</v>
      </c>
      <c r="P42" s="362">
        <f t="shared" si="5"/>
        <v>0</v>
      </c>
      <c r="Q42" s="363"/>
      <c r="R42" s="364" t="s">
        <v>228</v>
      </c>
    </row>
    <row r="43" spans="4:18" s="361" customFormat="1" ht="12.75">
      <c r="D43" s="354" t="s">
        <v>222</v>
      </c>
      <c r="G43" s="362">
        <f>1-G42</f>
        <v>0.8302381561547351</v>
      </c>
      <c r="H43" s="362">
        <f aca="true" t="shared" si="6" ref="H43:P43">1-H42</f>
        <v>0.8373363242306794</v>
      </c>
      <c r="I43" s="362">
        <f t="shared" si="6"/>
        <v>0.8378529943036097</v>
      </c>
      <c r="J43" s="362">
        <f t="shared" si="6"/>
        <v>0.8350435181610779</v>
      </c>
      <c r="K43" s="362">
        <f t="shared" si="6"/>
        <v>0.8549799938885444</v>
      </c>
      <c r="L43" s="362">
        <f t="shared" si="6"/>
        <v>0.8379634729637416</v>
      </c>
      <c r="M43" s="362">
        <f t="shared" si="6"/>
        <v>0.8567105033142653</v>
      </c>
      <c r="N43" s="362">
        <f t="shared" si="6"/>
        <v>0.836013024755722</v>
      </c>
      <c r="O43" s="362">
        <f t="shared" si="6"/>
        <v>0.9005520190756103</v>
      </c>
      <c r="P43" s="362">
        <f t="shared" si="6"/>
        <v>1</v>
      </c>
      <c r="Q43" s="363"/>
      <c r="R43" s="364"/>
    </row>
    <row r="44" spans="4:18" s="361" customFormat="1" ht="12.75">
      <c r="D44" s="354"/>
      <c r="Q44" s="365"/>
      <c r="R44" s="366"/>
    </row>
    <row r="45" spans="2:18" s="361" customFormat="1" ht="15">
      <c r="B45" s="354" t="s">
        <v>229</v>
      </c>
      <c r="C45" s="367"/>
      <c r="D45" s="354" t="s">
        <v>220</v>
      </c>
      <c r="G45" s="368">
        <f>G42*(G18+G25)</f>
        <v>3830956.4449612247</v>
      </c>
      <c r="H45" s="368">
        <f aca="true" t="shared" si="7" ref="H45:P45">H42*(H18+H25)</f>
        <v>4935142.848653712</v>
      </c>
      <c r="I45" s="368">
        <f t="shared" si="7"/>
        <v>10144460.705221236</v>
      </c>
      <c r="J45" s="368">
        <f t="shared" si="7"/>
        <v>49286594.98046249</v>
      </c>
      <c r="K45" s="368">
        <f t="shared" si="7"/>
        <v>3677921.5880383425</v>
      </c>
      <c r="L45" s="368">
        <f t="shared" si="7"/>
        <v>55760055.86381274</v>
      </c>
      <c r="M45" s="368">
        <f t="shared" si="7"/>
        <v>2651199.2677240656</v>
      </c>
      <c r="N45" s="368">
        <f t="shared" si="7"/>
        <v>49128633.79340108</v>
      </c>
      <c r="O45" s="368">
        <f>O42*(O18+O25)</f>
        <v>1924625.615552868</v>
      </c>
      <c r="P45" s="368">
        <f t="shared" si="7"/>
        <v>0</v>
      </c>
      <c r="Q45" s="367"/>
      <c r="R45" s="369"/>
    </row>
    <row r="46" spans="3:18" s="361" customFormat="1" ht="15">
      <c r="C46" s="365"/>
      <c r="D46" s="354" t="s">
        <v>222</v>
      </c>
      <c r="G46" s="368">
        <f>G43*(G18+G25)+G24</f>
        <v>18427073.58807977</v>
      </c>
      <c r="H46" s="368">
        <f aca="true" t="shared" si="8" ref="H46:P46">H43*(H18+H25)+H24</f>
        <v>25434037.701724157</v>
      </c>
      <c r="I46" s="368">
        <f t="shared" si="8"/>
        <v>52418894.45297439</v>
      </c>
      <c r="J46" s="368">
        <f t="shared" si="8"/>
        <v>249498844.8580897</v>
      </c>
      <c r="K46" s="368">
        <f t="shared" si="8"/>
        <v>21657665.186361447</v>
      </c>
      <c r="L46" s="368">
        <f t="shared" si="8"/>
        <v>289937264.5152989</v>
      </c>
      <c r="M46" s="368">
        <f t="shared" si="8"/>
        <v>15780565.08579991</v>
      </c>
      <c r="N46" s="368">
        <f t="shared" si="8"/>
        <v>250186226.446366</v>
      </c>
      <c r="O46" s="368">
        <f t="shared" si="8"/>
        <v>17428463.28241241</v>
      </c>
      <c r="P46" s="368">
        <f t="shared" si="8"/>
        <v>5243023.510466977</v>
      </c>
      <c r="Q46" s="367"/>
      <c r="R46" s="366" t="s">
        <v>230</v>
      </c>
    </row>
    <row r="47" spans="2:18" s="361" customFormat="1" ht="15">
      <c r="B47" s="365"/>
      <c r="C47" s="365"/>
      <c r="D47" s="354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67"/>
      <c r="R47" s="367"/>
    </row>
    <row r="48" spans="2:16" s="361" customFormat="1" ht="15">
      <c r="B48" s="354" t="s">
        <v>231</v>
      </c>
      <c r="C48" s="367"/>
      <c r="D48" s="354" t="s">
        <v>220</v>
      </c>
      <c r="G48" s="371">
        <f>ROUND(G45,-3)</f>
        <v>3831000</v>
      </c>
      <c r="H48" s="371">
        <f aca="true" t="shared" si="9" ref="H48:P49">ROUND(H45,-3)</f>
        <v>4935000</v>
      </c>
      <c r="I48" s="371">
        <f t="shared" si="9"/>
        <v>10144000</v>
      </c>
      <c r="J48" s="371">
        <f t="shared" si="9"/>
        <v>49287000</v>
      </c>
      <c r="K48" s="371">
        <f t="shared" si="9"/>
        <v>3678000</v>
      </c>
      <c r="L48" s="371">
        <f t="shared" si="9"/>
        <v>55760000</v>
      </c>
      <c r="M48" s="371">
        <f t="shared" si="9"/>
        <v>2651000</v>
      </c>
      <c r="N48" s="371">
        <f t="shared" si="9"/>
        <v>49129000</v>
      </c>
      <c r="O48" s="371">
        <f t="shared" si="9"/>
        <v>1925000</v>
      </c>
      <c r="P48" s="371">
        <f t="shared" si="9"/>
        <v>0</v>
      </c>
    </row>
    <row r="49" spans="4:16" s="361" customFormat="1" ht="12.75">
      <c r="D49" s="354" t="s">
        <v>222</v>
      </c>
      <c r="G49" s="371">
        <f>ROUND(G46,-3)</f>
        <v>18427000</v>
      </c>
      <c r="H49" s="371">
        <f t="shared" si="9"/>
        <v>25434000</v>
      </c>
      <c r="I49" s="371">
        <f t="shared" si="9"/>
        <v>52419000</v>
      </c>
      <c r="J49" s="371">
        <f t="shared" si="9"/>
        <v>249499000</v>
      </c>
      <c r="K49" s="371">
        <f t="shared" si="9"/>
        <v>21658000</v>
      </c>
      <c r="L49" s="371">
        <f t="shared" si="9"/>
        <v>289937000</v>
      </c>
      <c r="M49" s="371">
        <f t="shared" si="9"/>
        <v>15781000</v>
      </c>
      <c r="N49" s="371">
        <f t="shared" si="9"/>
        <v>250186000</v>
      </c>
      <c r="O49" s="371">
        <f t="shared" si="9"/>
        <v>17428000</v>
      </c>
      <c r="P49" s="371">
        <f t="shared" si="9"/>
        <v>5243000</v>
      </c>
    </row>
    <row r="50" ht="12.75">
      <c r="K50" s="347"/>
    </row>
    <row r="51" ht="12.75">
      <c r="K51" s="347"/>
    </row>
    <row r="57" spans="7:9" ht="12.75">
      <c r="G57" s="327"/>
      <c r="H57" s="327"/>
      <c r="I57" s="327"/>
    </row>
    <row r="58" spans="7:9" ht="12.75">
      <c r="G58" s="372"/>
      <c r="H58" s="372"/>
      <c r="I58" s="372"/>
    </row>
    <row r="59" spans="7:9" ht="12.75">
      <c r="G59" s="372"/>
      <c r="H59" s="372"/>
      <c r="I59" s="372"/>
    </row>
    <row r="60" spans="7:9" ht="12.75">
      <c r="G60" s="372"/>
      <c r="H60" s="372"/>
      <c r="I60" s="3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jschep</dc:creator>
  <cp:keywords/>
  <dc:description/>
  <cp:lastModifiedBy>Administrator</cp:lastModifiedBy>
  <cp:lastPrinted>2011-09-29T09:23:40Z</cp:lastPrinted>
  <dcterms:created xsi:type="dcterms:W3CDTF">2011-06-20T08:48:36Z</dcterms:created>
  <dcterms:modified xsi:type="dcterms:W3CDTF">2012-09-25T11:12:47Z</dcterms:modified>
  <cp:category/>
  <cp:version/>
  <cp:contentType/>
  <cp:contentStatus/>
</cp:coreProperties>
</file>